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SUPPORT\0103CS\010301ADMIN\01030104MTN\Project 2022\Re-location\TOR\Annex\ANNEX I\"/>
    </mc:Choice>
  </mc:AlternateContent>
  <xr:revisionPtr revIDLastSave="0" documentId="13_ncr:1_{AC7253EC-BCD1-4351-8A03-6D7CD713E2FD}" xr6:coauthVersionLast="47" xr6:coauthVersionMax="47" xr10:uidLastSave="{00000000-0000-0000-0000-000000000000}"/>
  <bookViews>
    <workbookView xWindow="-120" yWindow="-120" windowWidth="20730" windowHeight="11040" tabRatio="850" firstSheet="1" activeTab="1" xr2:uid="{00000000-000D-0000-FFFF-FFFF00000000}"/>
  </bookViews>
  <sheets>
    <sheet name="Summary" sheetId="5" r:id="rId1"/>
    <sheet name="1)Preliminary Work" sheetId="6" r:id="rId2"/>
    <sheet name="BOQ" sheetId="4" state="hidden" r:id="rId3"/>
    <sheet name="2) Demolish Work" sheetId="18" r:id="rId4"/>
    <sheet name="3)ACCOM. Sr.Officer TYP. " sheetId="8" r:id="rId5"/>
    <sheet name="4)ACCOM. Officer TYP." sheetId="12" r:id="rId6"/>
    <sheet name="5) Main water supply and sewage" sheetId="13" r:id="rId7"/>
    <sheet name="6)Road, Landscape and Drainage" sheetId="17" r:id="rId8"/>
    <sheet name="7) Water Plant Phonchan" sheetId="10" r:id="rId9"/>
    <sheet name="8) CCTV" sheetId="19" r:id="rId10"/>
    <sheet name="9)Football Field New Accom" sheetId="15" r:id="rId11"/>
    <sheet name="10) HV &amp; Tranformer " sheetId="14" r:id="rId12"/>
    <sheet name="11) Fire Alarm" sheetId="21" r:id="rId13"/>
    <sheet name="12)GYM" sheetId="22" r:id="rId14"/>
    <sheet name="Structure" sheetId="7" state="hidden" r:id="rId15"/>
    <sheet name="Arch." sheetId="1" state="hidden" r:id="rId16"/>
    <sheet name="M&amp;E" sheetId="2" state="hidden" r:id="rId17"/>
    <sheet name="Sanitary" sheetId="3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10">#N/A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 localSheetId="10">#REF!</definedName>
    <definedName name="\a">#REF!</definedName>
    <definedName name="\A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k">#N/A</definedName>
    <definedName name="\l" localSheetId="12">#REF!</definedName>
    <definedName name="\l" localSheetId="13">#REF!</definedName>
    <definedName name="\l" localSheetId="6">#REF!</definedName>
    <definedName name="\l" localSheetId="7">#REF!</definedName>
    <definedName name="\l" localSheetId="10">#REF!</definedName>
    <definedName name="\l">#REF!</definedName>
    <definedName name="\m">#N/A</definedName>
    <definedName name="\n">#N/A</definedName>
    <definedName name="\o">#N/A</definedName>
    <definedName name="\p">#N/A</definedName>
    <definedName name="\q">#N/A</definedName>
    <definedName name="\w">#N/A</definedName>
    <definedName name="\z">#N/A</definedName>
    <definedName name="__xlnm.Print_Area_2">#REF!</definedName>
    <definedName name="_10" localSheetId="12">#REF!</definedName>
    <definedName name="_10" localSheetId="13">#REF!</definedName>
    <definedName name="_10">#REF!</definedName>
    <definedName name="_11" localSheetId="12">#REF!</definedName>
    <definedName name="_11" localSheetId="13">#REF!</definedName>
    <definedName name="_11">#REF!</definedName>
    <definedName name="_12" localSheetId="12">#REF!</definedName>
    <definedName name="_12" localSheetId="13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0">#REF!</definedName>
    <definedName name="_4.0___M_E_COST_BREAKDOWN">#REF!</definedName>
    <definedName name="_a">#REF!</definedName>
    <definedName name="_a___0">#REF!</definedName>
    <definedName name="_a___4">#REF!</definedName>
    <definedName name="_ADD1">STOP2:STOP2E</definedName>
    <definedName name="_ADD2">STOP:STOPE</definedName>
    <definedName name="_ARE1">#N/A</definedName>
    <definedName name="_ARE2">#N/A</definedName>
    <definedName name="_ARE3">#N/A</definedName>
    <definedName name="_ARE4">#N/A</definedName>
    <definedName name="_ARE5">#N/A</definedName>
    <definedName name="_ARE6">#N/A</definedName>
    <definedName name="_ARE7">#N/A</definedName>
    <definedName name="_ARE8">#N/A</definedName>
    <definedName name="_b">#N/A</definedName>
    <definedName name="_BOX2">#REF!</definedName>
    <definedName name="_c" localSheetId="12">#REF!</definedName>
    <definedName name="_c" localSheetId="13">#REF!</definedName>
    <definedName name="_c">#REF!</definedName>
    <definedName name="_c___0" localSheetId="12">#REF!</definedName>
    <definedName name="_c___0" localSheetId="13">#REF!</definedName>
    <definedName name="_c___0">#REF!</definedName>
    <definedName name="_c___4" localSheetId="12">#REF!</definedName>
    <definedName name="_c___4" localSheetId="13">#REF!</definedName>
    <definedName name="_c___4">#REF!</definedName>
    <definedName name="_CAL1">#REF!</definedName>
    <definedName name="_CAL10">#REF!</definedName>
    <definedName name="_CAL11">#REF!</definedName>
    <definedName name="_CAL12">#REF!</definedName>
    <definedName name="_CAL13">#REF!</definedName>
    <definedName name="_CAL14">#REF!</definedName>
    <definedName name="_CAL15">#REF!</definedName>
    <definedName name="_CAL16">#REF!</definedName>
    <definedName name="_CAL2">#REF!</definedName>
    <definedName name="_CAL3">#REF!</definedName>
    <definedName name="_CAL4">#REF!</definedName>
    <definedName name="_CAL5">#REF!</definedName>
    <definedName name="_CAL6">#REF!</definedName>
    <definedName name="_CAL7">#REF!</definedName>
    <definedName name="_CAL8">#REF!</definedName>
    <definedName name="_CAL9">#REF!</definedName>
    <definedName name="_e">#N/A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localSheetId="10" hidden="1">#REF!</definedName>
    <definedName name="_Fill" hidden="1">#REF!</definedName>
    <definedName name="_xlnm._FilterDatabase" localSheetId="7" hidden="1">'6)Road, Landscape and Drainage'!$E$15:$L$15</definedName>
    <definedName name="_FS_ESC__ESC__E">#N/A</definedName>
    <definedName name="_GETNUMBER__ENT">#N/A</definedName>
    <definedName name="_GOTO_ANSWER_">#N/A</definedName>
    <definedName name="_GOTO_J13__">#N/A</definedName>
    <definedName name="_h2" localSheetId="12" hidden="1">{"'Sheet1'!$L$16"}</definedName>
    <definedName name="_h2" localSheetId="13" hidden="1">{"'Sheet1'!$L$16"}</definedName>
    <definedName name="_h2" localSheetId="6" hidden="1">{"'Sheet1'!$L$16"}</definedName>
    <definedName name="_h2" localSheetId="7" hidden="1">{"'Sheet1'!$L$16"}</definedName>
    <definedName name="_h2" localSheetId="10" hidden="1">{"'Sheet1'!$L$16"}</definedName>
    <definedName name="_h2" hidden="1">{"'Sheet1'!$L$16"}</definedName>
    <definedName name="_IF_ANSWER_1__B">#N/A</definedName>
    <definedName name="_Key1" localSheetId="1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localSheetId="10" hidden="1">#REF!</definedName>
    <definedName name="_Key1" hidden="1">#REF!</definedName>
    <definedName name="_Key2" hidden="1">#REF!</definedName>
    <definedName name="_m3" localSheetId="1">#REF!</definedName>
    <definedName name="_m3" localSheetId="12">#REF!</definedName>
    <definedName name="_m3" localSheetId="13">#REF!</definedName>
    <definedName name="_m3" localSheetId="6">#REF!</definedName>
    <definedName name="_m3" localSheetId="7">#REF!</definedName>
    <definedName name="_m3" localSheetId="10">#REF!</definedName>
    <definedName name="_m3">#REF!</definedName>
    <definedName name="_NG13">#N/A</definedName>
    <definedName name="_NG14">#N/A</definedName>
    <definedName name="_NG15">#N/A</definedName>
    <definedName name="_NG16">#N/A</definedName>
    <definedName name="_NG17">#N/A</definedName>
    <definedName name="_NG18">#N/A</definedName>
    <definedName name="_NG19">#N/A</definedName>
    <definedName name="_Order1" hidden="1">255</definedName>
    <definedName name="_Order2" hidden="1">255</definedName>
    <definedName name="_p">#N/A</definedName>
    <definedName name="_PPCRRARE2_AGQ">#N/A</definedName>
    <definedName name="_PPCRRARE3_AGQ">#N/A</definedName>
    <definedName name="_PPCRRARE4_AGQ">#N/A</definedName>
    <definedName name="_PPCRRARE5_AGQ">#N/A</definedName>
    <definedName name="_PPCRRARE6_AGQ">#N/A</definedName>
    <definedName name="_PPCRRARE7_AGQ">#N/A</definedName>
    <definedName name="_PPCRRARE8_AGQ">#N/A</definedName>
    <definedName name="_q">#N/A</definedName>
    <definedName name="_rev2" localSheetId="12" hidden="1">{"'Sheet1'!$L$16"}</definedName>
    <definedName name="_rev2" localSheetId="13" hidden="1">{"'Sheet1'!$L$16"}</definedName>
    <definedName name="_rev2" localSheetId="6" hidden="1">{"'Sheet1'!$L$16"}</definedName>
    <definedName name="_rev2" localSheetId="7" hidden="1">{"'Sheet1'!$L$16"}</definedName>
    <definedName name="_rev2" localSheetId="10" hidden="1">{"'Sheet1'!$L$16"}</definedName>
    <definedName name="_rev2" hidden="1">{"'Sheet1'!$L$16"}</definedName>
    <definedName name="_SFL1">#REF!</definedName>
    <definedName name="_SFL2">#REF!</definedName>
    <definedName name="_SFL3">#REF!</definedName>
    <definedName name="_SFM1">#REF!</definedName>
    <definedName name="_SFM2">#REF!</definedName>
    <definedName name="_SFM3">#REF!</definedName>
    <definedName name="_SFM4">#REF!</definedName>
    <definedName name="_SFM5">#REF!</definedName>
    <definedName name="_SFM6">#REF!</definedName>
    <definedName name="_SFM7">#REF!</definedName>
    <definedName name="_SFQ1">#REF!</definedName>
    <definedName name="_SFQ2">#REF!</definedName>
    <definedName name="_SFQ3">#REF!</definedName>
    <definedName name="_SFQ4">#REF!</definedName>
    <definedName name="_Sort" localSheetId="1" hidden="1">#REF!</definedName>
    <definedName name="_Sort" hidden="1">#REF!</definedName>
    <definedName name="_str1">#REF!</definedName>
    <definedName name="_str2">#REF!</definedName>
    <definedName name="_str3">#REF!</definedName>
    <definedName name="_SUM1">#REF!</definedName>
    <definedName name="_SUM2">#REF!</definedName>
    <definedName name="_SUM3">#REF!</definedName>
    <definedName name="_Table1_In1" localSheetId="1" hidden="1">#REF!</definedName>
    <definedName name="_Table1_In1" hidden="1">#REF!</definedName>
    <definedName name="_Table1_Out" localSheetId="1" hidden="1">#REF!</definedName>
    <definedName name="_Table1_Out" hidden="1">#REF!</definedName>
    <definedName name="_TOP2">#REF!</definedName>
    <definedName name="_TP2">#REF!</definedName>
    <definedName name="_w">#N/A</definedName>
    <definedName name="_WD2">#REF!</definedName>
    <definedName name="_WEY_QY">#N/A</definedName>
    <definedName name="_WGZY__PPCRRARE">#N/A</definedName>
    <definedName name="_z">#N/A</definedName>
    <definedName name="a" localSheetId="1">[1]スケルトン!#REF!</definedName>
    <definedName name="a">[1]スケルトン!#REF!</definedName>
    <definedName name="aaaa">#REF!</definedName>
    <definedName name="AB">#N/A</definedName>
    <definedName name="AC">#N/A</definedName>
    <definedName name="ACC">#REF!</definedName>
    <definedName name="AccessDatabase" hidden="1">"C:\My Documents\MRTA\COST\VO\BS\L_subway.mdb"</definedName>
    <definedName name="ACT">#REF!</definedName>
    <definedName name="ADDR">HAJIME:OWARI</definedName>
    <definedName name="AE">#N/A</definedName>
    <definedName name="AF">#N/A</definedName>
    <definedName name="AG">#N/A</definedName>
    <definedName name="AH">#N/A</definedName>
    <definedName name="ALL">#REF!</definedName>
    <definedName name="Amt">"Text Box 56"</definedName>
    <definedName name="ANSWER">#N/A</definedName>
    <definedName name="basic.rate">'[2]Basic Rate'!$B$4:$N$87</definedName>
    <definedName name="BC">#REF!</definedName>
    <definedName name="BEGIN" localSheetId="12">#REF!</definedName>
    <definedName name="BEGIN" localSheetId="13">#REF!</definedName>
    <definedName name="BEGIN">#REF!</definedName>
    <definedName name="BIGC" localSheetId="12" hidden="1">{#N/A,#N/A,TRUE,"Str.";#N/A,#N/A,TRUE,"Steel &amp; Roof";#N/A,#N/A,TRUE,"Arc.";#N/A,#N/A,TRUE,"Preliminary";#N/A,#N/A,TRUE,"Sum_Prelim"}</definedName>
    <definedName name="BIGC" localSheetId="13" hidden="1">{#N/A,#N/A,TRUE,"Str.";#N/A,#N/A,TRUE,"Steel &amp; Roof";#N/A,#N/A,TRUE,"Arc.";#N/A,#N/A,TRUE,"Preliminary";#N/A,#N/A,TRUE,"Sum_Prelim"}</definedName>
    <definedName name="BIGC" localSheetId="6" hidden="1">{#N/A,#N/A,TRUE,"Str.";#N/A,#N/A,TRUE,"Steel &amp; Roof";#N/A,#N/A,TRUE,"Arc.";#N/A,#N/A,TRUE,"Preliminary";#N/A,#N/A,TRUE,"Sum_Prelim"}</definedName>
    <definedName name="BIGC" localSheetId="7" hidden="1">{#N/A,#N/A,TRUE,"Str.";#N/A,#N/A,TRUE,"Steel &amp; Roof";#N/A,#N/A,TRUE,"Arc.";#N/A,#N/A,TRUE,"Preliminary";#N/A,#N/A,TRUE,"Sum_Prelim"}</definedName>
    <definedName name="BIGC" localSheetId="10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l.4" localSheetId="1">#REF!</definedName>
    <definedName name="bill.4" localSheetId="12">#REF!</definedName>
    <definedName name="bill.4" localSheetId="13">#REF!</definedName>
    <definedName name="bill.4" localSheetId="6">#REF!</definedName>
    <definedName name="bill.4" localSheetId="7">#REF!</definedName>
    <definedName name="bill.4" localSheetId="10">#REF!</definedName>
    <definedName name="bill.4">#REF!</definedName>
    <definedName name="boq">[3]Price!$A$7:$AY$1419</definedName>
    <definedName name="BOX">#REF!</definedName>
    <definedName name="bridge.bg">[2]bridge.bg!$B$6:$P$391</definedName>
    <definedName name="budget">[2]budget!$B$14:$M$510</definedName>
    <definedName name="Button_1">"MAT_PRICE_Sheet1_List"</definedName>
    <definedName name="CAL">#REF!</definedName>
    <definedName name="Carpen">#REF!</definedName>
    <definedName name="CDL">#REF!</definedName>
    <definedName name="cflo" localSheetId="12" hidden="1">{"CASH FLOW",#N/A,FALSE,"A"}</definedName>
    <definedName name="cflo" localSheetId="13" hidden="1">{"CASH FLOW",#N/A,FALSE,"A"}</definedName>
    <definedName name="cflo" localSheetId="6" hidden="1">{"CASH FLOW",#N/A,FALSE,"A"}</definedName>
    <definedName name="cflo" localSheetId="7" hidden="1">{"CASH FLOW",#N/A,FALSE,"A"}</definedName>
    <definedName name="cflo" localSheetId="10" hidden="1">{"CASH FLOW",#N/A,FALSE,"A"}</definedName>
    <definedName name="cflo" hidden="1">{"CASH FLOW",#N/A,FALSE,"A"}</definedName>
    <definedName name="CHOICE1">#N/A</definedName>
    <definedName name="CHOICE10">#N/A</definedName>
    <definedName name="CHOICE2">#N/A</definedName>
    <definedName name="CHOICE3">#N/A</definedName>
    <definedName name="CHOICE4">#N/A</definedName>
    <definedName name="CHOICE5">#N/A</definedName>
    <definedName name="CHOICE6">#N/A</definedName>
    <definedName name="CHOICE7">#N/A</definedName>
    <definedName name="CHOICE8">#N/A</definedName>
    <definedName name="CHOICE9">#N/A</definedName>
    <definedName name="code">'[4]Unit Rate'!$D$3:$D$360</definedName>
    <definedName name="Connectable">#REF!</definedName>
    <definedName name="cost_lab" localSheetId="12">#REF!</definedName>
    <definedName name="cost_lab" localSheetId="13">#REF!</definedName>
    <definedName name="cost_lab">#REF!</definedName>
    <definedName name="cost_mat" localSheetId="12">#REF!</definedName>
    <definedName name="cost_mat" localSheetId="13">#REF!</definedName>
    <definedName name="cost_mat">#REF!</definedName>
    <definedName name="CR_ALL">#REF!</definedName>
    <definedName name="cs.etc">'[2]CS.Etc.'!$B$3:$N$655</definedName>
    <definedName name="cs.struct" localSheetId="1">#REF!</definedName>
    <definedName name="cs.struct" localSheetId="12">#REF!</definedName>
    <definedName name="cs.struct" localSheetId="13">#REF!</definedName>
    <definedName name="cs.struct" localSheetId="6">#REF!</definedName>
    <definedName name="cs.struct" localSheetId="7">#REF!</definedName>
    <definedName name="cs.struct" localSheetId="10">#REF!</definedName>
    <definedName name="cs.struct">#REF!</definedName>
    <definedName name="CUL">#REF!</definedName>
    <definedName name="D1_index">#REF!</definedName>
    <definedName name="D1_match">#REF!</definedName>
    <definedName name="D2_index">#REF!</definedName>
    <definedName name="D2_match">#REF!</definedName>
    <definedName name="D3_index">#REF!</definedName>
    <definedName name="D3_match">#REF!</definedName>
    <definedName name="DATA">#REF!</definedName>
    <definedName name="data1" localSheetId="1" hidden="1">#REF!</definedName>
    <definedName name="data1" localSheetId="12" hidden="1">#REF!</definedName>
    <definedName name="data1" localSheetId="13" hidden="1">#REF!</definedName>
    <definedName name="data1" localSheetId="6" hidden="1">#REF!</definedName>
    <definedName name="data1" localSheetId="7" hidden="1">#REF!</definedName>
    <definedName name="data1" localSheetId="10" hidden="1">#REF!</definedName>
    <definedName name="data1" hidden="1">#REF!</definedName>
    <definedName name="data2" localSheetId="1" hidden="1">#REF!</definedName>
    <definedName name="data2" localSheetId="12" hidden="1">#REF!</definedName>
    <definedName name="data2" localSheetId="13" hidden="1">#REF!</definedName>
    <definedName name="data2" localSheetId="6" hidden="1">#REF!</definedName>
    <definedName name="data2" localSheetId="7" hidden="1">#REF!</definedName>
    <definedName name="data2" localSheetId="10" hidden="1">#REF!</definedName>
    <definedName name="data2" hidden="1">#REF!</definedName>
    <definedName name="data3" localSheetId="1" hidden="1">#REF!</definedName>
    <definedName name="data3" hidden="1">#REF!</definedName>
    <definedName name="DDD">#REF!</definedName>
    <definedName name="dflt7">[5]Invoice!#REF!</definedName>
    <definedName name="Discount" localSheetId="1" hidden="1">#REF!</definedName>
    <definedName name="Discount" localSheetId="12" hidden="1">#REF!</definedName>
    <definedName name="Discount" localSheetId="13" hidden="1">#REF!</definedName>
    <definedName name="Discount" hidden="1">#REF!</definedName>
    <definedName name="display_area_2" localSheetId="1" hidden="1">#REF!</definedName>
    <definedName name="display_area_2" hidden="1">#REF!</definedName>
    <definedName name="e">#REF!</definedName>
    <definedName name="Earth">#REF!</definedName>
    <definedName name="eec">#REF!</definedName>
    <definedName name="EEE">#REF!</definedName>
    <definedName name="EF">#REF!</definedName>
    <definedName name="EFA">#REF!</definedName>
    <definedName name="ELEMENT__Sanitary_System">#REF!</definedName>
    <definedName name="eqdata">#REF!</definedName>
    <definedName name="eqinput">[6]Equipment!$C$4:$F$1852</definedName>
    <definedName name="eqtotal">[6]Equipment!$F$4</definedName>
    <definedName name="eqtotalqty">[6]Equipment!$F$5:$F$1852</definedName>
    <definedName name="ES">#REF!</definedName>
    <definedName name="ESA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1_1_1_1_1_1_1_1_1_1">#REF!</definedName>
    <definedName name="Excel_BuiltIn_Print_Area_1_1_1_1_1_1_1_1_1_1_1">#REF!</definedName>
    <definedName name="Excel_BuiltIn_Print_Area_1_1_1_1_1_1_1_1_1_1_1_1">#REF!</definedName>
    <definedName name="Excel_BuiltIn_Print_Area_1_1_1_1_1_1_1_1_1_1_1_1_1">#REF!</definedName>
    <definedName name="Excel_BuiltIn_Print_Area_1_1_1_1_1_1_1_1_1_1_1_1_1_1">#REF!</definedName>
    <definedName name="Excel_BuiltIn_Print_Area_1_1_1_1_1_1_1_1_1_1_1_1_1_1_1">#REF!</definedName>
    <definedName name="Excel_BuiltIn_Print_Area_1_1_1_1_1_1_1_1_1_1_1_1_1_1_1_1">#REF!</definedName>
    <definedName name="Excel_BuiltIn_Print_Area_1_1_1_1_1_1_1_1_1_1_1_1_1_1_1_1_1">#REF!</definedName>
    <definedName name="Excel_BuiltIn_Print_Area_1_1_1_1_1_1_1_1_1_1_1_1_1_1_1_1_1_1">#REF!</definedName>
    <definedName name="Excel_BuiltIn_Print_Area_10_1_1_1">#REF!</definedName>
    <definedName name="Excel_BuiltIn_Print_Area_10_1_1_1_1">#REF!</definedName>
    <definedName name="Excel_BuiltIn_Print_Area_10_1_1_1_1_1">#REF!</definedName>
    <definedName name="Excel_BuiltIn_Print_Area_10_1_1_1_1_1_1">#REF!</definedName>
    <definedName name="Excel_BuiltIn_Print_Area_10_1_1_1_1_1_1_1">#REF!</definedName>
    <definedName name="Excel_BuiltIn_Print_Area_10_1_1_1_1_1_1_1_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1_1_1_1_1">#REF!</definedName>
    <definedName name="Excel_BuiltIn_Print_Area_11_1_1_1_1_1">#REF!</definedName>
    <definedName name="Excel_BuiltIn_Print_Area_11_1_1_1_1_1_1">#REF!</definedName>
    <definedName name="Excel_BuiltIn_Print_Area_11_1_1_1_1_1_1_1">#REF!</definedName>
    <definedName name="Excel_BuiltIn_Print_Area_11_1_1_1_1_1_1_1_1">#REF!</definedName>
    <definedName name="Excel_BuiltIn_Print_Area_11_1_1_1_1_1_1_1_1_1">#REF!</definedName>
    <definedName name="Excel_BuiltIn_Print_Area_11_1_1_1_1_1_1_1_1_1_1">#REF!</definedName>
    <definedName name="Excel_BuiltIn_Print_Area_11_1_1_1_1_1_1_1_1_1_1_1">#REF!</definedName>
    <definedName name="Excel_BuiltIn_Print_Area_12_1_1">#REF!</definedName>
    <definedName name="Excel_BuiltIn_Print_Area_12_1_1_1">#REF!</definedName>
    <definedName name="Excel_BuiltIn_Print_Area_12_1_1_1_1">#REF!</definedName>
    <definedName name="Excel_BuiltIn_Print_Area_12_1_1_1_1_1">#REF!</definedName>
    <definedName name="Excel_BuiltIn_Print_Area_12_1_1_1_1_1_1">#REF!</definedName>
    <definedName name="Excel_BuiltIn_Print_Area_12_1_1_1_1_1_1_1">#REF!</definedName>
    <definedName name="Excel_BuiltIn_Print_Area_12_1_1_1_1_1_1_1_1">#REF!</definedName>
    <definedName name="Excel_BuiltIn_Print_Area_12_1_1_1_1_1_1_1_1_1">#REF!</definedName>
    <definedName name="Excel_BuiltIn_Print_Area_12_1_1_1_1_1_1_1_1_1_1">#REF!</definedName>
    <definedName name="Excel_BuiltIn_Print_Area_12_1_1_1_1_1_1_1_1_1_1_1">#REF!</definedName>
    <definedName name="Excel_BuiltIn_Print_Area_12_1_1_1_1_1_1_1_1_1_1_1_1">#REF!</definedName>
    <definedName name="Excel_BuiltIn_Print_Area_12_1_1_1_1_1_1_1_1_1_1_1_1_1">#REF!</definedName>
    <definedName name="Excel_BuiltIn_Print_Area_13_1_1">#REF!</definedName>
    <definedName name="Excel_BuiltIn_Print_Area_13_1_1_1">#REF!</definedName>
    <definedName name="Excel_BuiltIn_Print_Area_13_1_1_1_1">#REF!</definedName>
    <definedName name="Excel_BuiltIn_Print_Area_13_1_1_1_1_1">#REF!</definedName>
    <definedName name="Excel_BuiltIn_Print_Area_13_1_1_1_1_1_1">#REF!</definedName>
    <definedName name="Excel_BuiltIn_Print_Area_13_1_1_1_1_1_1_1">#REF!</definedName>
    <definedName name="Excel_BuiltIn_Print_Area_13_1_1_1_1_1_1_1_1">#REF!</definedName>
    <definedName name="Excel_BuiltIn_Print_Area_13_1_1_1_1_1_1_1_1_1">#REF!</definedName>
    <definedName name="Excel_BuiltIn_Print_Area_13_1_1_1_1_1_1_1_1_1_1">#REF!</definedName>
    <definedName name="Excel_BuiltIn_Print_Area_13_1_1_1_1_1_1_1_1_1_1_1">#REF!</definedName>
    <definedName name="Excel_BuiltIn_Print_Area_13_1_1_1_1_1_1_1_1_1_1_1_1">#REF!</definedName>
    <definedName name="Excel_BuiltIn_Print_Area_13_1_1_1_1_1_1_1_1_1_1_1_1_1">#REF!</definedName>
    <definedName name="Excel_BuiltIn_Print_Area_13_1_1_1_1_1_1_1_1_1_1_1_1_1_1">#REF!</definedName>
    <definedName name="Excel_BuiltIn_Print_Area_13_1_1_1_1_1_1_1_1_1_1_1_1_1_1_1">#REF!</definedName>
    <definedName name="Excel_BuiltIn_Print_Area_13_1_1_1_1_1_1_1_1_1_1_1_1_1_1_1_1">#REF!</definedName>
    <definedName name="Excel_BuiltIn_Print_Area_13_1_1_1_1_1_1_1_1_1_1_1_1_1_1_1_1_1">#REF!</definedName>
    <definedName name="Excel_BuiltIn_Print_Area_13_1_1_1_1_1_1_1_1_1_1_1_1_1_1_1_1_1_1">#REF!</definedName>
    <definedName name="Excel_BuiltIn_Print_Area_14_1">#REF!</definedName>
    <definedName name="Excel_BuiltIn_Print_Area_14_1_1">#REF!</definedName>
    <definedName name="Excel_BuiltIn_Print_Area_14_1_1_1">#REF!</definedName>
    <definedName name="Excel_BuiltIn_Print_Area_14_1_1_1_1">#REF!</definedName>
    <definedName name="Excel_BuiltIn_Print_Area_14_1_1_1_1_1">#REF!</definedName>
    <definedName name="Excel_BuiltIn_Print_Area_14_1_1_1_1_1_1">#REF!</definedName>
    <definedName name="Excel_BuiltIn_Print_Area_14_1_1_1_1_1_1_1">#REF!</definedName>
    <definedName name="Excel_BuiltIn_Print_Area_14_1_1_1_1_1_1_1_1">#REF!</definedName>
    <definedName name="Excel_BuiltIn_Print_Area_14_1_1_1_1_1_1_1_1_1">#REF!</definedName>
    <definedName name="Excel_BuiltIn_Print_Area_14_1_1_1_1_1_1_1_1_1_1">#REF!</definedName>
    <definedName name="Excel_BuiltIn_Print_Area_14_1_1_1_1_1_1_1_1_1_1_1">#REF!</definedName>
    <definedName name="Excel_BuiltIn_Print_Area_14_1_1_1_1_1_1_1_1_1_1_1_1">#REF!</definedName>
    <definedName name="Excel_BuiltIn_Print_Area_14_1_1_1_1_1_1_1_1_1_1_1_1_1">#REF!</definedName>
    <definedName name="Excel_BuiltIn_Print_Area_14_1_1_1_1_1_1_1_1_1_1_1_1_1_1">#REF!</definedName>
    <definedName name="Excel_BuiltIn_Print_Area_14_1_1_1_1_1_1_1_1_1_1_1_1_1_1_1">#REF!</definedName>
    <definedName name="Excel_BuiltIn_Print_Area_14_1_1_1_1_1_1_1_1_1_1_1_1_1_1_1_1">#REF!</definedName>
    <definedName name="Excel_BuiltIn_Print_Area_14_1_1_1_1_1_1_1_1_1_1_1_1_1_1_1_1_1">#REF!</definedName>
    <definedName name="Excel_BuiltIn_Print_Area_14_1_1_1_1_1_1_1_1_1_1_1_1_1_1_1_1_1_1">#REF!</definedName>
    <definedName name="Excel_BuiltIn_Print_Area_14_1_1_1_1_1_1_1_1_1_1_1_1_1_1_1_1_1_1_1">#REF!</definedName>
    <definedName name="Excel_BuiltIn_Print_Area_14_1_1_1_1_1_1_1_1_1_1_1_1_1_1_1_1_1_1_1_1">#REF!</definedName>
    <definedName name="Excel_BuiltIn_Print_Area_14_1_1_1_1_1_1_1_1_1_1_1_1_1_1_1_1_1_1_1_1_1">#REF!</definedName>
    <definedName name="Excel_BuiltIn_Print_Area_14_1_1_1_1_1_1_1_1_1_1_1_1_1_1_1_1_1_1_1_1_1_1">#REF!</definedName>
    <definedName name="Excel_BuiltIn_Print_Area_15_1_1_1_1_1_1">#REF!</definedName>
    <definedName name="Excel_BuiltIn_Print_Area_15_1_1_1_1_1_1_1">#REF!</definedName>
    <definedName name="Excel_BuiltIn_Print_Area_15_1_1_1_1_1_1_1_1">#REF!</definedName>
    <definedName name="Excel_BuiltIn_Print_Area_15_1_1_1_1_1_1_1_1_1">#REF!</definedName>
    <definedName name="Excel_BuiltIn_Print_Area_15_1_1_1_1_1_1_1_1_1_1">#REF!</definedName>
    <definedName name="Excel_BuiltIn_Print_Area_15_1_1_1_1_1_1_1_1_1_1_1">#REF!</definedName>
    <definedName name="Excel_BuiltIn_Print_Area_15_1_1_1_1_1_1_1_1_1_1_1_1">#REF!</definedName>
    <definedName name="Excel_BuiltIn_Print_Area_15_1_1_1_1_1_1_1_1_1_1_1_1_1">#REF!</definedName>
    <definedName name="Excel_BuiltIn_Print_Area_15_1_1_1_1_1_1_1_1_1_1_1_1_1_1">#REF!</definedName>
    <definedName name="Excel_BuiltIn_Print_Area_16_1">#REF!</definedName>
    <definedName name="Excel_BuiltIn_Print_Area_16_1_1">#REF!</definedName>
    <definedName name="Excel_BuiltIn_Print_Area_16_1_1_1_1">#REF!</definedName>
    <definedName name="Excel_BuiltIn_Print_Area_16_1_1_1_1_1">#REF!</definedName>
    <definedName name="Excel_BuiltIn_Print_Area_16_1_1_1_1_1_1">#REF!</definedName>
    <definedName name="Excel_BuiltIn_Print_Area_17">#REF!</definedName>
    <definedName name="Excel_BuiltIn_Print_Area_17_1">#REF!</definedName>
    <definedName name="Excel_BuiltIn_Print_Area_17_1_1">#REF!</definedName>
    <definedName name="Excel_BuiltIn_Print_Area_17_1_1_1">#REF!</definedName>
    <definedName name="Excel_BuiltIn_Print_Area_17_1_1_1_1">#REF!</definedName>
    <definedName name="Excel_BuiltIn_Print_Area_17_1_1_1_1_1">#REF!</definedName>
    <definedName name="Excel_BuiltIn_Print_Area_17_1_1_1_1_1_1">#REF!</definedName>
    <definedName name="Excel_BuiltIn_Print_Area_17_1_1_1_1_1_1_1">#REF!</definedName>
    <definedName name="Excel_BuiltIn_Print_Area_17_1_1_1_1_1_1_1_1">#REF!</definedName>
    <definedName name="Excel_BuiltIn_Print_Area_18_1">#REF!</definedName>
    <definedName name="Excel_BuiltIn_Print_Area_18_1_1">#REF!</definedName>
    <definedName name="Excel_BuiltIn_Print_Area_18_1_1_1">#REF!</definedName>
    <definedName name="Excel_BuiltIn_Print_Area_19_1">#REF!</definedName>
    <definedName name="Excel_BuiltIn_Print_Area_19_1_1">#REF!</definedName>
    <definedName name="Excel_BuiltIn_Print_Area_19_1_1_1">#REF!</definedName>
    <definedName name="Excel_BuiltIn_Print_Area_19_1_1_1_1">#REF!</definedName>
    <definedName name="Excel_BuiltIn_Print_Area_19_1_1_1_1_1">#REF!</definedName>
    <definedName name="Excel_BuiltIn_Print_Area_19_1_1_1_1_1_1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1_1_1_1_1">#REF!</definedName>
    <definedName name="Excel_BuiltIn_Print_Area_2_1_1_1_1_1_1_1_1_1">#REF!</definedName>
    <definedName name="Excel_BuiltIn_Print_Area_2_1_1_1_1_1_1_1_1_1_1">#REF!</definedName>
    <definedName name="Excel_BuiltIn_Print_Area_2_1_1_1_1_1_1_1_1_1_1_1">#REF!</definedName>
    <definedName name="Excel_BuiltIn_Print_Area_2_1_1_1_1_1_1_1_1_1_1_1_1">#REF!</definedName>
    <definedName name="Excel_BuiltIn_Print_Area_2_1_1_1_1_1_1_1_1_1_1_1_1_1">#REF!</definedName>
    <definedName name="Excel_BuiltIn_Print_Area_2_1_1_1_1_1_1_1_1_1_1_1_1_1_1">#REF!</definedName>
    <definedName name="Excel_BuiltIn_Print_Area_20_1_1">#REF!</definedName>
    <definedName name="Excel_BuiltIn_Print_Area_20_1_1_1">#REF!</definedName>
    <definedName name="Excel_BuiltIn_Print_Area_21_1">#REF!</definedName>
    <definedName name="Excel_BuiltIn_Print_Area_21_1_1">#REF!</definedName>
    <definedName name="Excel_BuiltIn_Print_Area_21_1_1_1">#REF!</definedName>
    <definedName name="Excel_BuiltIn_Print_Area_22">#REF!</definedName>
    <definedName name="Excel_BuiltIn_Print_Area_22_1">#REF!</definedName>
    <definedName name="Excel_BuiltIn_Print_Area_22_1_1">#REF!</definedName>
    <definedName name="Excel_BuiltIn_Print_Area_23">#REF!</definedName>
    <definedName name="Excel_BuiltIn_Print_Area_23_1">#REF!</definedName>
    <definedName name="Excel_BuiltIn_Print_Area_23_1_1">#REF!</definedName>
    <definedName name="Excel_BuiltIn_Print_Area_24">#REF!</definedName>
    <definedName name="Excel_BuiltIn_Print_Area_24_1">#REF!</definedName>
    <definedName name="Excel_BuiltIn_Print_Area_24_1_1">#REF!</definedName>
    <definedName name="Excel_BuiltIn_Print_Area_24_1_1_1">#REF!</definedName>
    <definedName name="Excel_BuiltIn_Print_Area_24_1_1_1_1">#REF!</definedName>
    <definedName name="Excel_BuiltIn_Print_Area_24_1_1_1_1_1">#REF!</definedName>
    <definedName name="Excel_BuiltIn_Print_Area_24_1_1_1_1_1_1">#REF!</definedName>
    <definedName name="Excel_BuiltIn_Print_Area_24_1_1_1_1_1_1_1">#REF!</definedName>
    <definedName name="Excel_BuiltIn_Print_Area_25">#REF!</definedName>
    <definedName name="Excel_BuiltIn_Print_Area_25_1">#REF!</definedName>
    <definedName name="Excel_BuiltIn_Print_Area_25_1_1">#REF!</definedName>
    <definedName name="Excel_BuiltIn_Print_Area_25_1_1_1">#REF!</definedName>
    <definedName name="Excel_BuiltIn_Print_Area_25_1_1_1_1">#REF!</definedName>
    <definedName name="Excel_BuiltIn_Print_Area_25_1_1_1_1_1">#REF!</definedName>
    <definedName name="Excel_BuiltIn_Print_Area_25_1_1_1_1_1_1">#REF!</definedName>
    <definedName name="Excel_BuiltIn_Print_Area_25_1_1_1_1_1_1_1">#REF!</definedName>
    <definedName name="Excel_BuiltIn_Print_Area_25_1_1_1_1_1_1_1_1">#REF!</definedName>
    <definedName name="Excel_BuiltIn_Print_Area_25_1_1_1_1_1_1_1_1_1">#REF!</definedName>
    <definedName name="Excel_BuiltIn_Print_Area_25_1_1_1_1_1_1_1_1_1_1">#REF!</definedName>
    <definedName name="Excel_BuiltIn_Print_Area_26">#REF!</definedName>
    <definedName name="Excel_BuiltIn_Print_Area_26_1">#REF!</definedName>
    <definedName name="Excel_BuiltIn_Print_Area_26_1_1">#REF!</definedName>
    <definedName name="Excel_BuiltIn_Print_Area_26_1_1_1">#REF!</definedName>
    <definedName name="Excel_BuiltIn_Print_Area_26_1_1_1_1">#REF!</definedName>
    <definedName name="Excel_BuiltIn_Print_Area_27_1">#REF!</definedName>
    <definedName name="Excel_BuiltIn_Print_Area_27_1_1">#REF!</definedName>
    <definedName name="Excel_BuiltIn_Print_Area_27_1_1_1">#REF!</definedName>
    <definedName name="Excel_BuiltIn_Print_Area_28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_1_1_1_1">#REF!</definedName>
    <definedName name="Excel_BuiltIn_Print_Area_3_1_1_1_1_1_1_1">#REF!</definedName>
    <definedName name="Excel_BuiltIn_Print_Area_3_1_1_1_1_1_1_1_1">#REF!</definedName>
    <definedName name="Excel_BuiltIn_Print_Area_3_1_1_1_1_1_1_1_1_1">#REF!</definedName>
    <definedName name="Excel_BuiltIn_Print_Area_3_1_1_1_1_1_1_1_1_1_1">#REF!</definedName>
    <definedName name="Excel_BuiltIn_Print_Area_3_1_1_1_1_1_1_1_1_1_1_1">#REF!</definedName>
    <definedName name="Excel_BuiltIn_Print_Area_3_1_1_1_1_1_1_1_1_1_1_1_1">#REF!</definedName>
    <definedName name="Excel_BuiltIn_Print_Area_3_1_1_1_1_1_1_1_1_1_1_1_1_1">#REF!</definedName>
    <definedName name="Excel_BuiltIn_Print_Area_3_1_1_1_1_1_1_1_1_1_1_1_1_1_1">#REF!</definedName>
    <definedName name="Excel_BuiltIn_Print_Area_3_1_1_1_1_1_1_1_1_1_1_1_1_1_1_1">#REF!</definedName>
    <definedName name="Excel_BuiltIn_Print_Area_3_1_1_1_1_1_1_1_1_1_1_1_1_1_1_1_1">#REF!</definedName>
    <definedName name="Excel_BuiltIn_Print_Area_3_1_1_1_1_1_1_1_1_1_1_1_1_1_1_1_1_1">"$#REF!.$A$1:$D$257"</definedName>
    <definedName name="Excel_BuiltIn_Print_Area_4_1_1_1_1">#REF!</definedName>
    <definedName name="Excel_BuiltIn_Print_Area_4_1_1_1_1_1">#REF!</definedName>
    <definedName name="Excel_BuiltIn_Print_Area_4_1_1_1_1_1_1">#REF!</definedName>
    <definedName name="Excel_BuiltIn_Print_Area_4_1_1_1_1_1_1_1">#REF!</definedName>
    <definedName name="Excel_BuiltIn_Print_Area_4_1_1_1_1_1_1_1_1">#REF!</definedName>
    <definedName name="Excel_BuiltIn_Print_Area_4_1_1_1_1_1_1_1_1_1">#REF!</definedName>
    <definedName name="Excel_BuiltIn_Print_Area_4_1_1_1_1_1_1_1_1_1_1">#REF!</definedName>
    <definedName name="Excel_BuiltIn_Print_Area_4_1_1_1_1_1_1_1_1_1_1_1">#REF!</definedName>
    <definedName name="Excel_BuiltIn_Print_Area_4_1_1_1_1_1_1_1_1_1_1_1_1">#REF!</definedName>
    <definedName name="Excel_BuiltIn_Print_Area_4_1_1_1_1_1_1_1_1_1_1_1_1_1">#REF!</definedName>
    <definedName name="Excel_BuiltIn_Print_Area_4_1_1_1_1_1_1_1_1_1_1_1_1_1_1">#REF!</definedName>
    <definedName name="Excel_BuiltIn_Print_Area_4_1_1_1_1_1_1_1_1_1_1_1_1_1_1_1">#REF!</definedName>
    <definedName name="Excel_BuiltIn_Print_Area_4_1_1_1_1_1_1_1_1_1_1_1_1_1_1_1_1">#REF!</definedName>
    <definedName name="Excel_BuiltIn_Print_Area_4_1_1_1_1_1_1_1_1_1_1_1_1_1_1_1_1_1">#REF!</definedName>
    <definedName name="Excel_BuiltIn_Print_Area_4_1_1_1_1_1_1_1_1_1_1_1_1_1_1_1_1_1_1">#REF!</definedName>
    <definedName name="Excel_BuiltIn_Print_Area_4_1_1_1_1_1_1_1_1_1_1_1_1_1_1_1_1_1_1_1">#REF!</definedName>
    <definedName name="Excel_BuiltIn_Print_Area_4_1_1_1_1_1_1_1_1_1_1_1_1_1_1_1_1_1_1_1_1">#REF!</definedName>
    <definedName name="Excel_BuiltIn_Print_Area_4_1_1_1_1_1_1_1_1_1_1_1_1_1_1_1_1_1_1_1_1_1">#REF!</definedName>
    <definedName name="Excel_BuiltIn_Print_Area_4_1_1_1_1_1_1_1_1_1_1_1_1_1_1_1_1_1_1_1_1_1_1">#REF!</definedName>
    <definedName name="Excel_BuiltIn_Print_Area_4_1_1_1_1_1_1_1_1_1_1_1_1_1_1_1_1_1_1_1_1_1_1_1">#REF!</definedName>
    <definedName name="Excel_BuiltIn_Print_Area_4_1_1_1_1_1_1_1_1_1_1_1_1_1_1_1_1_1_1_1_1_1_1_1_1">#REF!</definedName>
    <definedName name="Excel_BuiltIn_Print_Area_4_1_1_1_1_1_1_1_1_1_1_1_1_1_1_1_1_1_1_1_1_1_1_1_1_1">#REF!</definedName>
    <definedName name="Excel_BuiltIn_Print_Area_4_1_1_1_1_1_1_1_1_1_1_1_1_1_1_1_1_1_1_1_1_1_1_1_1_1_1">#REF!</definedName>
    <definedName name="Excel_BuiltIn_Print_Area_4_1_1_1_1_1_1_1_1_1_1_1_1_1_1_1_1_1_1_1_1_1_1_1_1_1_1_1">#REF!</definedName>
    <definedName name="Excel_BuiltIn_Print_Area_4_1_1_1_1_1_1_1_1_1_1_1_1_1_1_1_1_1_1_1_1_1_1_1_1_1_1_1_1">#REF!</definedName>
    <definedName name="Excel_BuiltIn_Print_Area_4_1_1_1_1_1_1_1_1_1_1_1_1_1_1_1_1_1_1_1_1_1_1_1_1_1_1_1_1_1">#REF!</definedName>
    <definedName name="Excel_BuiltIn_Print_Area_4_1_1_1_1_1_1_1_1_1_1_1_1_1_1_1_1_1_1_1_1_1_1_1_1_1_1_1_1_1_1">#REF!</definedName>
    <definedName name="Excel_BuiltIn_Print_Area_5_1_1_1_1">#REF!</definedName>
    <definedName name="Excel_BuiltIn_Print_Area_5_1_1_1_1_1">#REF!</definedName>
    <definedName name="Excel_BuiltIn_Print_Area_5_1_1_1_1_1_1">#REF!</definedName>
    <definedName name="Excel_BuiltIn_Print_Area_5_1_1_1_1_1_1_1">#REF!</definedName>
    <definedName name="Excel_BuiltIn_Print_Area_5_1_1_1_1_1_1_1_1">#REF!</definedName>
    <definedName name="Excel_BuiltIn_Print_Area_5_1_1_1_1_1_1_1_1_1">#REF!</definedName>
    <definedName name="Excel_BuiltIn_Print_Area_5_1_1_1_1_1_1_1_1_1_1">#REF!</definedName>
    <definedName name="Excel_BuiltIn_Print_Area_5_1_1_1_1_1_1_1_1_1_1_1">#REF!</definedName>
    <definedName name="Excel_BuiltIn_Print_Area_5_1_1_1_1_1_1_1_1_1_1_1_1">#REF!</definedName>
    <definedName name="Excel_BuiltIn_Print_Area_5_1_1_1_1_1_1_1_1_1_1_1_1_1">#REF!</definedName>
    <definedName name="Excel_BuiltIn_Print_Area_5_1_1_1_1_1_1_1_1_1_1_1_1_1_1">#REF!</definedName>
    <definedName name="Excel_BuiltIn_Print_Area_5_1_1_1_1_1_1_1_1_1_1_1_1_1_1_1">#REF!</definedName>
    <definedName name="Excel_BuiltIn_Print_Area_5_1_1_1_1_1_1_1_1_1_1_1_1_1_1_1_1">#REF!</definedName>
    <definedName name="Excel_BuiltIn_Print_Area_5_1_1_1_1_1_1_1_1_1_1_1_1_1_1_1_1_1">#REF!</definedName>
    <definedName name="Excel_BuiltIn_Print_Area_5_1_1_1_1_1_1_1_1_1_1_1_1_1_1_1_1_1_1">#REF!</definedName>
    <definedName name="Excel_BuiltIn_Print_Area_5_1_1_1_1_1_1_1_1_1_1_1_1_1_1_1_1_1_1_1">#REF!</definedName>
    <definedName name="Excel_BuiltIn_Print_Area_5_1_1_1_1_1_1_1_1_1_1_1_1_1_1_1_1_1_1_1_1">#REF!</definedName>
    <definedName name="Excel_BuiltIn_Print_Area_5_1_1_1_1_1_1_1_1_1_1_1_1_1_1_1_1_1_1_1_1_1">#REF!</definedName>
    <definedName name="Excel_BuiltIn_Print_Area_5_1_1_1_1_1_1_1_1_1_1_1_1_1_1_1_1_1_1_1_1_1_1">#REF!</definedName>
    <definedName name="Excel_BuiltIn_Print_Area_5_1_1_1_1_1_1_1_1_1_1_1_1_1_1_1_1_1_1_1_1_1_1_1">#REF!</definedName>
    <definedName name="Excel_BuiltIn_Print_Area_5_1_1_1_1_1_1_1_1_1_1_1_1_1_1_1_1_1_1_1_1_1_1_1_1">#REF!</definedName>
    <definedName name="Excel_BuiltIn_Print_Area_5_1_1_1_1_1_1_1_1_1_1_1_1_1_1_1_1_1_1_1_1_1_1_1_1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1_1_1_1">#REF!</definedName>
    <definedName name="Excel_BuiltIn_Print_Area_6_1_1_1_1_1_1">#REF!</definedName>
    <definedName name="Excel_BuiltIn_Print_Area_6_1_1_1_1_1_1_1">#REF!</definedName>
    <definedName name="Excel_BuiltIn_Print_Area_6_1_1_1_1_1_1_1_1">#REF!</definedName>
    <definedName name="Excel_BuiltIn_Print_Area_6_1_1_1_1_1_1_1_1_1">#REF!</definedName>
    <definedName name="Excel_BuiltIn_Print_Area_6_1_1_1_1_1_1_1_1_1_1">#REF!</definedName>
    <definedName name="Excel_BuiltIn_Print_Area_6_1_1_1_1_1_1_1_1_1_1_1">#REF!</definedName>
    <definedName name="Excel_BuiltIn_Print_Area_6_1_1_1_1_1_1_1_1_1_1_1_1">#REF!</definedName>
    <definedName name="Excel_BuiltIn_Print_Area_6_1_1_1_1_1_1_1_1_1_1_1_1_1">#REF!</definedName>
    <definedName name="Excel_BuiltIn_Print_Area_6_1_1_1_1_1_1_1_1_1_1_1_1_1_1">#REF!</definedName>
    <definedName name="Excel_BuiltIn_Print_Area_6_1_1_1_1_1_1_1_1_1_1_1_1_1_1_1">#REF!</definedName>
    <definedName name="Excel_BuiltIn_Print_Area_6_1_1_1_1_1_1_1_1_1_1_1_1_1_1_1_1">#REF!</definedName>
    <definedName name="Excel_BuiltIn_Print_Area_7_1_1_1">#REF!</definedName>
    <definedName name="Excel_BuiltIn_Print_Area_7_1_1_1_1">#REF!</definedName>
    <definedName name="Excel_BuiltIn_Print_Area_7_1_1_1_1_1">#REF!</definedName>
    <definedName name="Excel_BuiltIn_Print_Area_7_1_1_1_1_1_1">#REF!</definedName>
    <definedName name="Excel_BuiltIn_Print_Area_7_1_1_1_1_1_1_1">#REF!</definedName>
    <definedName name="Excel_BuiltIn_Print_Area_7_1_1_1_1_1_1_1_1">#REF!</definedName>
    <definedName name="Excel_BuiltIn_Print_Area_7_1_1_1_1_1_1_1_1_1">#REF!</definedName>
    <definedName name="Excel_BuiltIn_Print_Area_7_1_1_1_1_1_1_1_1_1_1">#REF!</definedName>
    <definedName name="Excel_BuiltIn_Print_Area_7_1_1_1_1_1_1_1_1_1_1_1">#REF!</definedName>
    <definedName name="Excel_BuiltIn_Print_Area_7_1_1_1_1_1_1_1_1_1_1_1_1">#REF!</definedName>
    <definedName name="Excel_BuiltIn_Print_Area_7_1_1_1_1_1_1_1_1_1_1_1_1_1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1_1_1">#REF!</definedName>
    <definedName name="Excel_BuiltIn_Print_Area_8_1_1_1_1_1">#REF!</definedName>
    <definedName name="Excel_BuiltIn_Print_Area_8_1_1_1_1_1_1">#REF!</definedName>
    <definedName name="Excel_BuiltIn_Print_Area_8_1_1_1_1_1_1_1">#REF!</definedName>
    <definedName name="Excel_BuiltIn_Print_Area_8_1_1_1_1_1_1_1_1">#REF!</definedName>
    <definedName name="Excel_BuiltIn_Print_Area_8_1_1_1_1_1_1_1_1_1">#REF!</definedName>
    <definedName name="Excel_BuiltIn_Print_Area_8_1_1_1_1_1_1_1_1_1_1">#REF!</definedName>
    <definedName name="Excel_BuiltIn_Print_Area_8_1_1_1_1_1_1_1_1_1_1_1">#REF!</definedName>
    <definedName name="Excel_BuiltIn_Print_Area_9_1_1">#REF!</definedName>
    <definedName name="Excel_BuiltIn_Print_Area_9_1_1_1">#REF!</definedName>
    <definedName name="Excel_BuiltIn_Print_Area_9_1_1_1_1">#REF!</definedName>
    <definedName name="Excel_BuiltIn_Print_Area_9_1_1_1_1_1">#REF!</definedName>
    <definedName name="Excel_BuiltIn_Print_Area_9_1_1_1_1_1_1">#REF!</definedName>
    <definedName name="Excel_BuiltIn_Print_Area_9_1_1_1_1_1_1_1">#REF!</definedName>
    <definedName name="Excel_BuiltIn_Print_Area_9_1_1_1_1_1_1_1_1">#REF!</definedName>
    <definedName name="Excel_BuiltIn_Print_Titles_1_1">#REF!</definedName>
    <definedName name="Excel_BuiltIn_Print_Titles_1_1_1">#REF!</definedName>
    <definedName name="Excel_BuiltIn_Print_Titles_10_1">#REF!</definedName>
    <definedName name="Excel_BuiltIn_Print_Titles_10_1_1">#REF!</definedName>
    <definedName name="Excel_BuiltIn_Print_Titles_10_1_1_1">#REF!</definedName>
    <definedName name="Excel_BuiltIn_Print_Titles_10_1_1_1_1">#REF!</definedName>
    <definedName name="Excel_BuiltIn_Print_Titles_10_1_1_1_1_1">#REF!</definedName>
    <definedName name="Excel_BuiltIn_Print_Titles_11_1">#REF!</definedName>
    <definedName name="Excel_BuiltIn_Print_Titles_11_1_1">#REF!</definedName>
    <definedName name="Excel_BuiltIn_Print_Titles_11_1_1_1">#REF!</definedName>
    <definedName name="Excel_BuiltIn_Print_Titles_11_1_1_1_1">#REF!</definedName>
    <definedName name="Excel_BuiltIn_Print_Titles_11_1_1_1_1_1">#REF!</definedName>
    <definedName name="Excel_BuiltIn_Print_Titles_11_1_1_1_1_1_1">#REF!</definedName>
    <definedName name="Excel_BuiltIn_Print_Titles_11_1_1_1_1_1_1_1">#REF!</definedName>
    <definedName name="Excel_BuiltIn_Print_Titles_11_1_1_1_1_1_1_1_1">#REF!</definedName>
    <definedName name="Excel_BuiltIn_Print_Titles_12_1">#REF!</definedName>
    <definedName name="Excel_BuiltIn_Print_Titles_12_1_1">#REF!</definedName>
    <definedName name="Excel_BuiltIn_Print_Titles_12_1_1_1">#REF!</definedName>
    <definedName name="Excel_BuiltIn_Print_Titles_12_1_1_1_1">#REF!</definedName>
    <definedName name="Excel_BuiltIn_Print_Titles_12_1_1_1_1_1">#REF!</definedName>
    <definedName name="Excel_BuiltIn_Print_Titles_12_1_1_1_1_1_1">#REF!</definedName>
    <definedName name="Excel_BuiltIn_Print_Titles_13_1">#REF!</definedName>
    <definedName name="Excel_BuiltIn_Print_Titles_13_1_1">#REF!</definedName>
    <definedName name="Excel_BuiltIn_Print_Titles_13_1_1_1">#REF!</definedName>
    <definedName name="Excel_BuiltIn_Print_Titles_13_1_1_1_1">#REF!</definedName>
    <definedName name="Excel_BuiltIn_Print_Titles_13_1_1_1_1_1">#REF!</definedName>
    <definedName name="Excel_BuiltIn_Print_Titles_14_1">#REF!</definedName>
    <definedName name="Excel_BuiltIn_Print_Titles_15_1">#REF!</definedName>
    <definedName name="Excel_BuiltIn_Print_Titles_16_1">#REF!,#REF!</definedName>
    <definedName name="Excel_BuiltIn_Print_Titles_16_1_1">#REF!</definedName>
    <definedName name="Excel_BuiltIn_Print_Titles_17_1">#REF!,#REF!</definedName>
    <definedName name="Excel_BuiltIn_Print_Titles_17_1_1">#REF!</definedName>
    <definedName name="Excel_BuiltIn_Print_Titles_18_1">#REF!</definedName>
    <definedName name="Excel_BuiltIn_Print_Titles_19_1">#REF!</definedName>
    <definedName name="Excel_BuiltIn_Print_Titles_2_1">#REF!</definedName>
    <definedName name="Excel_BuiltIn_Print_Titles_2_1_1">#REF!</definedName>
    <definedName name="Excel_BuiltIn_Print_Titles_2_1_1_1">#REF!</definedName>
    <definedName name="Excel_BuiltIn_Print_Titles_2_1_1_1_1">#REF!</definedName>
    <definedName name="Excel_BuiltIn_Print_Titles_20_1">#REF!</definedName>
    <definedName name="Excel_BuiltIn_Print_Titles_20_1_1">#REF!</definedName>
    <definedName name="Excel_BuiltIn_Print_Titles_22_1">#REF!</definedName>
    <definedName name="Excel_BuiltIn_Print_Titles_23_1">#REF!</definedName>
    <definedName name="Excel_BuiltIn_Print_Titles_24_1">#REF!</definedName>
    <definedName name="Excel_BuiltIn_Print_Titles_25_1">#REF!</definedName>
    <definedName name="Excel_BuiltIn_Print_Titles_26">#REF!</definedName>
    <definedName name="Excel_BuiltIn_Print_Titles_3_1">#REF!,#REF!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Excel_BuiltIn_Print_Titles_3_1_1_1_1_1_1">#REF!</definedName>
    <definedName name="Excel_BuiltIn_Print_Titles_3_1_1_1_1_1_1_1">NA()</definedName>
    <definedName name="Excel_BuiltIn_Print_Titles_4_1">#REF!</definedName>
    <definedName name="Excel_BuiltIn_Print_Titles_4_1_1">#REF!</definedName>
    <definedName name="Excel_BuiltIn_Print_Titles_4_1_1_1">#REF!</definedName>
    <definedName name="Excel_BuiltIn_Print_Titles_4_1_1_1_1">#REF!</definedName>
    <definedName name="Excel_BuiltIn_Print_Titles_4_1_1_1_1_1">#REF!</definedName>
    <definedName name="Excel_BuiltIn_Print_Titles_4_1_1_1_1_1_1">#REF!</definedName>
    <definedName name="Excel_BuiltIn_Print_Titles_4_1_1_1_1_1_1_1">#REF!</definedName>
    <definedName name="Excel_BuiltIn_Print_Titles_4_1_1_1_1_1_1_1_1">#REF!</definedName>
    <definedName name="Excel_BuiltIn_Print_Titles_5">'[7]S4 Spa Villa'!$A$1:$H$65066,'[7]S4 Spa Villa'!$1:$12</definedName>
    <definedName name="Excel_BuiltIn_Print_Titles_5_1_1">#REF!</definedName>
    <definedName name="Excel_BuiltIn_Print_Titles_5_1_1_1">#REF!</definedName>
    <definedName name="Excel_BuiltIn_Print_Titles_5_1_1_1_1">#REF!</definedName>
    <definedName name="Excel_BuiltIn_Print_Titles_5_1_1_1_1_1">#REF!</definedName>
    <definedName name="Excel_BuiltIn_Print_Titles_5_1_1_1_1_1_1">#REF!</definedName>
    <definedName name="Excel_BuiltIn_Print_Titles_5_1_1_1_1_1_1_1">#REF!</definedName>
    <definedName name="Excel_BuiltIn_Print_Titles_6_1">#REF!</definedName>
    <definedName name="Excel_BuiltIn_Print_Titles_6_1_1">#REF!</definedName>
    <definedName name="Excel_BuiltIn_Print_Titles_6_1_1_1">#REF!</definedName>
    <definedName name="Excel_BuiltIn_Print_Titles_6_1_1_1_1">#REF!</definedName>
    <definedName name="Excel_BuiltIn_Print_Titles_6_1_1_1_1_1">#REF!</definedName>
    <definedName name="Excel_BuiltIn_Print_Titles_6_1_1_1_1_1_1">#REF!</definedName>
    <definedName name="Excel_BuiltIn_Print_Titles_6_1_1_1_1_1_1_1">#REF!</definedName>
    <definedName name="Excel_BuiltIn_Print_Titles_6_1_1_1_1_1_1_1_1">#REF!</definedName>
    <definedName name="Excel_BuiltIn_Print_Titles_7_1">#REF!,#REF!</definedName>
    <definedName name="Excel_BuiltIn_Print_Titles_7_1_1">#REF!</definedName>
    <definedName name="Excel_BuiltIn_Print_Titles_7_1_1_1">#REF!</definedName>
    <definedName name="Excel_BuiltIn_Print_Titles_7_1_1_1_1">#REF!</definedName>
    <definedName name="Excel_BuiltIn_Print_Titles_7_1_1_1_1_1">#REF!</definedName>
    <definedName name="Excel_BuiltIn_Print_Titles_7_1_1_1_1_1_1">#REF!</definedName>
    <definedName name="Excel_BuiltIn_Print_Titles_7_1_1_1_1_1_1_1">#REF!</definedName>
    <definedName name="Excel_BuiltIn_Print_Titles_7_1_1_1_1_1_1_1_1">#REF!</definedName>
    <definedName name="Excel_BuiltIn_Print_Titles_8_1">#REF!</definedName>
    <definedName name="Excel_BuiltIn_Print_Titles_8_1_1">#REF!</definedName>
    <definedName name="Excel_BuiltIn_Print_Titles_8_1_1_1">#REF!</definedName>
    <definedName name="Excel_BuiltIn_Print_Titles_9_1">#REF!</definedName>
    <definedName name="Excel_BuiltIn_Print_Titles_9_1_1">#REF!</definedName>
    <definedName name="Excel_BuiltIn_Print_Titles_9_1_1_1">#REF!</definedName>
    <definedName name="Excel_BuiltIn_Print_Titles_9_1_1_1_1">#REF!</definedName>
    <definedName name="Excel_BuiltIn_Print_Titles_9_1_1_1_1_1">#REF!</definedName>
    <definedName name="F">#REF!</definedName>
    <definedName name="F_elevated">1.1479</definedName>
    <definedName name="F_S">#REF!</definedName>
    <definedName name="F_SL">FST:(FSB)</definedName>
    <definedName name="fa" localSheetId="12">#REF!</definedName>
    <definedName name="fa" localSheetId="13">#REF!</definedName>
    <definedName name="fa">#REF!</definedName>
    <definedName name="FACTOR" localSheetId="12">#REF!</definedName>
    <definedName name="FACTOR" localSheetId="13">#REF!</definedName>
    <definedName name="FACTOR">#REF!</definedName>
    <definedName name="FCode" localSheetId="1" hidden="1">#REF!</definedName>
    <definedName name="FCode" localSheetId="12" hidden="1">#REF!</definedName>
    <definedName name="FCode" localSheetId="13" hidden="1">#REF!</definedName>
    <definedName name="FCode" localSheetId="6" hidden="1">#REF!</definedName>
    <definedName name="FCode" localSheetId="7" hidden="1">#REF!</definedName>
    <definedName name="FCode" localSheetId="10" hidden="1">#REF!</definedName>
    <definedName name="FCode" hidden="1">#REF!</definedName>
    <definedName name="fgff" localSheetId="12" hidden="1">{#N/A,#N/A,TRUE,"SUM";#N/A,#N/A,TRUE,"EE";#N/A,#N/A,TRUE,"AC";#N/A,#N/A,TRUE,"SN"}</definedName>
    <definedName name="fgff" localSheetId="13" hidden="1">{#N/A,#N/A,TRUE,"SUM";#N/A,#N/A,TRUE,"EE";#N/A,#N/A,TRUE,"AC";#N/A,#N/A,TRUE,"SN"}</definedName>
    <definedName name="fgff" localSheetId="6" hidden="1">{#N/A,#N/A,TRUE,"SUM";#N/A,#N/A,TRUE,"EE";#N/A,#N/A,TRUE,"AC";#N/A,#N/A,TRUE,"SN"}</definedName>
    <definedName name="fgff" localSheetId="7" hidden="1">{#N/A,#N/A,TRUE,"SUM";#N/A,#N/A,TRUE,"EE";#N/A,#N/A,TRUE,"AC";#N/A,#N/A,TRUE,"SN"}</definedName>
    <definedName name="fgff" localSheetId="10" hidden="1">{#N/A,#N/A,TRUE,"SUM";#N/A,#N/A,TRUE,"EE";#N/A,#N/A,TRUE,"AC";#N/A,#N/A,TRUE,"SN"}</definedName>
    <definedName name="fgff" hidden="1">{#N/A,#N/A,TRUE,"SUM";#N/A,#N/A,TRUE,"EE";#N/A,#N/A,TRUE,"AC";#N/A,#N/A,TRUE,"SN"}</definedName>
    <definedName name="FIT">#REF!</definedName>
    <definedName name="FITFS">#REF!</definedName>
    <definedName name="FITT">#REF!</definedName>
    <definedName name="FixLength">#REF!</definedName>
    <definedName name="Formula" localSheetId="12">#REF!</definedName>
    <definedName name="Formula" localSheetId="13">#REF!</definedName>
    <definedName name="Formula">#REF!</definedName>
    <definedName name="FSB">#REF!</definedName>
    <definedName name="FSDATA">#REF!</definedName>
    <definedName name="FST">#REF!</definedName>
    <definedName name="ftss" localSheetId="12" hidden="1">{"FTS",#N/A,FALSE,"E"}</definedName>
    <definedName name="ftss" localSheetId="13" hidden="1">{"FTS",#N/A,FALSE,"E"}</definedName>
    <definedName name="ftss" localSheetId="6" hidden="1">{"FTS",#N/A,FALSE,"E"}</definedName>
    <definedName name="ftss" localSheetId="7" hidden="1">{"FTS",#N/A,FALSE,"E"}</definedName>
    <definedName name="ftss" localSheetId="10" hidden="1">{"FTS",#N/A,FALSE,"E"}</definedName>
    <definedName name="ftss" hidden="1">{"FTS",#N/A,FALSE,"E"}</definedName>
    <definedName name="g">#REF!</definedName>
    <definedName name="gg">#REF!</definedName>
    <definedName name="ggg" localSheetId="12" hidden="1">{#N/A,#N/A,TRUE,"SUM";#N/A,#N/A,TRUE,"EE";#N/A,#N/A,TRUE,"AC";#N/A,#N/A,TRUE,"SN"}</definedName>
    <definedName name="ggg" localSheetId="13" hidden="1">{#N/A,#N/A,TRUE,"SUM";#N/A,#N/A,TRUE,"EE";#N/A,#N/A,TRUE,"AC";#N/A,#N/A,TRUE,"SN"}</definedName>
    <definedName name="ggg" localSheetId="6" hidden="1">{#N/A,#N/A,TRUE,"SUM";#N/A,#N/A,TRUE,"EE";#N/A,#N/A,TRUE,"AC";#N/A,#N/A,TRUE,"SN"}</definedName>
    <definedName name="ggg" localSheetId="7" hidden="1">{#N/A,#N/A,TRUE,"SUM";#N/A,#N/A,TRUE,"EE";#N/A,#N/A,TRUE,"AC";#N/A,#N/A,TRUE,"SN"}</definedName>
    <definedName name="ggg" localSheetId="10" hidden="1">{#N/A,#N/A,TRUE,"SUM";#N/A,#N/A,TRUE,"EE";#N/A,#N/A,TRUE,"AC";#N/A,#N/A,TRUE,"SN"}</definedName>
    <definedName name="ggg" hidden="1">{#N/A,#N/A,TRUE,"SUM";#N/A,#N/A,TRUE,"EE";#N/A,#N/A,TRUE,"AC";#N/A,#N/A,TRUE,"SN"}</definedName>
    <definedName name="GIU">#REF!</definedName>
    <definedName name="GRAND">'[8]BK Unit Rate'!#REF!</definedName>
    <definedName name="h" localSheetId="12" hidden="1">{"'Sheet1'!$L$16"}</definedName>
    <definedName name="h" localSheetId="13" hidden="1">{"'Sheet1'!$L$16"}</definedName>
    <definedName name="h" localSheetId="6" hidden="1">{"'Sheet1'!$L$16"}</definedName>
    <definedName name="h" localSheetId="7" hidden="1">{"'Sheet1'!$L$16"}</definedName>
    <definedName name="h" localSheetId="10" hidden="1">{"'Sheet1'!$L$16"}</definedName>
    <definedName name="h" hidden="1">{"'Sheet1'!$L$16"}</definedName>
    <definedName name="H1_index">#REF!</definedName>
    <definedName name="H1_match">#REF!</definedName>
    <definedName name="H2_index">#REF!</definedName>
    <definedName name="H2_match">#REF!</definedName>
    <definedName name="H4_index">#REF!</definedName>
    <definedName name="H4_match">#REF!</definedName>
    <definedName name="H8_index">#REF!</definedName>
    <definedName name="H8_match">#REF!</definedName>
    <definedName name="HAJIME">#REF!</definedName>
    <definedName name="Hardware" hidden="1">{#N/A,#N/A,TRUE,"Str.";#N/A,#N/A,TRUE,"Steel &amp; Roof";#N/A,#N/A,TRUE,"Arc.";#N/A,#N/A,TRUE,"Preliminary";#N/A,#N/A,TRUE,"Sum_Prelim"}</definedName>
    <definedName name="HEAD">#N/A</definedName>
    <definedName name="HiddenRows" localSheetId="1" hidden="1">#REF!</definedName>
    <definedName name="HiddenRows" localSheetId="12" hidden="1">#REF!</definedName>
    <definedName name="HiddenRows" localSheetId="13" hidden="1">#REF!</definedName>
    <definedName name="HiddenRows" localSheetId="6" hidden="1">#REF!</definedName>
    <definedName name="HiddenRows" localSheetId="7" hidden="1">#REF!</definedName>
    <definedName name="HiddenRows" localSheetId="10" hidden="1">#REF!</definedName>
    <definedName name="HiddenRows" hidden="1">#REF!</definedName>
    <definedName name="HIPS式" localSheetId="1">#REF!</definedName>
    <definedName name="HIPS式" localSheetId="12">#REF!</definedName>
    <definedName name="HIPS式" localSheetId="13">#REF!</definedName>
    <definedName name="HIPS式" localSheetId="6">#REF!</definedName>
    <definedName name="HIPS式" localSheetId="7">#REF!</definedName>
    <definedName name="HIPS式" localSheetId="10">#REF!</definedName>
    <definedName name="HIPS式">#REF!</definedName>
    <definedName name="HIPS形状" localSheetId="1">#REF!</definedName>
    <definedName name="HIPS形状" localSheetId="12">#REF!</definedName>
    <definedName name="HIPS形状" localSheetId="13">#REF!</definedName>
    <definedName name="HIPS形状" localSheetId="6">#REF!</definedName>
    <definedName name="HIPS形状" localSheetId="7">#REF!</definedName>
    <definedName name="HIPS形状" localSheetId="10">#REF!</definedName>
    <definedName name="HIPS形状">#REF!</definedName>
    <definedName name="HIPS支承反力01" localSheetId="1">#REF!</definedName>
    <definedName name="HIPS支承反力01">#REF!</definedName>
    <definedName name="HIPS支承反力02" localSheetId="1">#REF!</definedName>
    <definedName name="HIPS支承反力02">#REF!</definedName>
    <definedName name="HTML_CodePage" hidden="1">950</definedName>
    <definedName name="HTML_Control" localSheetId="12" hidden="1">{"'Sheet1'!$L$16"}</definedName>
    <definedName name="HTML_Control" localSheetId="13" hidden="1">{"'Sheet1'!$L$16"}</definedName>
    <definedName name="HTML_Control" localSheetId="6" hidden="1">{"'Sheet1'!$L$16"}</definedName>
    <definedName name="HTML_Control" localSheetId="7" hidden="1">{"'Sheet1'!$L$16"}</definedName>
    <definedName name="HTML_Control" localSheetId="1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2" hidden="1">{"'Sheet1'!$L$16"}</definedName>
    <definedName name="huy" localSheetId="13" hidden="1">{"'Sheet1'!$L$16"}</definedName>
    <definedName name="huy" localSheetId="6" hidden="1">{"'Sheet1'!$L$16"}</definedName>
    <definedName name="huy" localSheetId="7" hidden="1">{"'Sheet1'!$L$16"}</definedName>
    <definedName name="huy" localSheetId="10" hidden="1">{"'Sheet1'!$L$16"}</definedName>
    <definedName name="huy" hidden="1">{"'Sheet1'!$L$16"}</definedName>
    <definedName name="ie">#REF!</definedName>
    <definedName name="indirect.man">'[2]Ind-M'!$B$6:$L$92</definedName>
    <definedName name="INSU">#REF!</definedName>
    <definedName name="INSU_2">#REF!</definedName>
    <definedName name="Int">#REF!</definedName>
    <definedName name="Interior">#REF!</definedName>
    <definedName name="ITEM">#REF!</definedName>
    <definedName name="Item.cal">[9]Item.cal!$B$2:$P$1778</definedName>
    <definedName name="Item.Est">[3]Item.cal!$B$1:$R$1644</definedName>
    <definedName name="Joinery">#REF!</definedName>
    <definedName name="KOP">#REF!</definedName>
    <definedName name="KOUNT" localSheetId="12">#REF!</definedName>
    <definedName name="KOUNT" localSheetId="13">#REF!</definedName>
    <definedName name="KOUNT">#REF!</definedName>
    <definedName name="l" localSheetId="12">#REF!</definedName>
    <definedName name="l" localSheetId="13">#REF!</definedName>
    <definedName name="l">#REF!</definedName>
    <definedName name="L_UNIT" localSheetId="12">#REF!</definedName>
    <definedName name="L_UNIT" localSheetId="13">#REF!</definedName>
    <definedName name="L_UNIT">#REF!</definedName>
    <definedName name="LABO">#REF!</definedName>
    <definedName name="llllll">#REF!</definedName>
    <definedName name="LRBせん断バネ" localSheetId="1">#REF!</definedName>
    <definedName name="LRBせん断バネ">#REF!</definedName>
    <definedName name="LRB形状" localSheetId="1">#REF!</definedName>
    <definedName name="LRB形状">#REF!</definedName>
    <definedName name="M_UNIT">#REF!</definedName>
    <definedName name="maninput">[10]Manpower!$C$4:$F$1750</definedName>
    <definedName name="manp.equip">'[3]Manpower+Equip'!$B$1:$T$79</definedName>
    <definedName name="mantotal">[10]Manpower!$F$4</definedName>
    <definedName name="mantotalqty">[10]Manpower!$F$5:$F$1750</definedName>
    <definedName name="Masonry">#REF!</definedName>
    <definedName name="mat.sub">'[2]qty+mat.+subcon'!$B$5:$S$811</definedName>
    <definedName name="mat.subc">'[4]Unit Rate'!$B$3:$W$360</definedName>
    <definedName name="matinput">[11]Material!$C$4:$F$1000</definedName>
    <definedName name="mattotal">[11]Material!$F$4</definedName>
    <definedName name="mattotalqty">[11]Material!$F$5:$F$1000</definedName>
    <definedName name="Meinhardt__Thailand__Ltd." localSheetId="12">#REF!</definedName>
    <definedName name="Meinhardt__Thailand__Ltd." localSheetId="13">#REF!</definedName>
    <definedName name="Meinhardt__Thailand__Ltd.">#REF!</definedName>
    <definedName name="MENU">#N/A</definedName>
    <definedName name="Meta">#REF!</definedName>
    <definedName name="Metal">#REF!</definedName>
    <definedName name="MISC">#REF!</definedName>
    <definedName name="Miscellaneous">#REF!</definedName>
    <definedName name="MP" localSheetId="12">#REF!</definedName>
    <definedName name="MP" localSheetId="13">#REF!</definedName>
    <definedName name="MP">#REF!</definedName>
    <definedName name="new" localSheetId="12">'11) Fire Alarm'!new</definedName>
    <definedName name="new" localSheetId="13">'12)GYM'!new</definedName>
    <definedName name="new" localSheetId="6">'5) Main water supply and sewage'!new</definedName>
    <definedName name="new" localSheetId="7">'6)Road, Landscape and Drainage'!new</definedName>
    <definedName name="new" localSheetId="10">'9)Football Field New Accom'!new</definedName>
    <definedName name="new">[0]!new</definedName>
    <definedName name="no.3" localSheetId="12">#REF!</definedName>
    <definedName name="no.3" localSheetId="13">#REF!</definedName>
    <definedName name="no.3" localSheetId="6">#REF!</definedName>
    <definedName name="no.3" localSheetId="7">#REF!</definedName>
    <definedName name="no.3" localSheetId="10">#REF!</definedName>
    <definedName name="no.3">#REF!</definedName>
    <definedName name="NOIFS">#REF!</definedName>
    <definedName name="NOIP">#REF!</definedName>
    <definedName name="NOIT">#REF!</definedName>
    <definedName name="NOMFS">#REF!</definedName>
    <definedName name="NOMP">#REF!</definedName>
    <definedName name="NOMT">#REF!</definedName>
    <definedName name="NUMBER" localSheetId="12">#REF!</definedName>
    <definedName name="NUMBER" localSheetId="13">#REF!</definedName>
    <definedName name="NUMBER" localSheetId="6">#REF!</definedName>
    <definedName name="NUMBER" localSheetId="7">#REF!</definedName>
    <definedName name="NUMBER" localSheetId="10">#REF!</definedName>
    <definedName name="NUMBER">#REF!</definedName>
    <definedName name="NYA1C">#REF!</definedName>
    <definedName name="NYM2C">#REF!</definedName>
    <definedName name="OrderTable" localSheetId="1" hidden="1">#REF!</definedName>
    <definedName name="OrderTable" localSheetId="12" hidden="1">#REF!</definedName>
    <definedName name="OrderTable" localSheetId="13" hidden="1">#REF!</definedName>
    <definedName name="OrderTable" localSheetId="6" hidden="1">#REF!</definedName>
    <definedName name="OrderTable" localSheetId="7" hidden="1">#REF!</definedName>
    <definedName name="OrderTable" localSheetId="10" hidden="1">#REF!</definedName>
    <definedName name="OrderTable" hidden="1">#REF!</definedName>
    <definedName name="OUT">#REF!</definedName>
    <definedName name="OWARI">#REF!</definedName>
    <definedName name="P">#REF!</definedName>
    <definedName name="p_d">#REF!</definedName>
    <definedName name="p_d1">#REF!</definedName>
    <definedName name="PAIN">#REF!</definedName>
    <definedName name="Paint">#REF!</definedName>
    <definedName name="Painting">#REF!</definedName>
    <definedName name="PART">[12]Sheet1!#REF!</definedName>
    <definedName name="PF_S">#REF!</definedName>
    <definedName name="pier_sch">[13]pier_sch!$B$6:$W$519</definedName>
    <definedName name="PIL">#REF!</definedName>
    <definedName name="Pile">#REF!</definedName>
    <definedName name="Piling">#REF!</definedName>
    <definedName name="PIP">#REF!</definedName>
    <definedName name="PIPE">#REF!</definedName>
    <definedName name="pl" localSheetId="12" hidden="1">{"PLANT BREAKUP",#N/A,FALSE,"E"}</definedName>
    <definedName name="pl" localSheetId="13" hidden="1">{"PLANT BREAKUP",#N/A,FALSE,"E"}</definedName>
    <definedName name="pl" localSheetId="6" hidden="1">{"PLANT BREAKUP",#N/A,FALSE,"E"}</definedName>
    <definedName name="pl" localSheetId="7" hidden="1">{"PLANT BREAKUP",#N/A,FALSE,"E"}</definedName>
    <definedName name="pl" localSheetId="10" hidden="1">{"PLANT BREAKUP",#N/A,FALSE,"E"}</definedName>
    <definedName name="pl" hidden="1">{"PLANT BREAKUP",#N/A,FALSE,"E"}</definedName>
    <definedName name="Plaster">#REF!</definedName>
    <definedName name="Plastering">#REF!</definedName>
    <definedName name="Plint">#REF!</definedName>
    <definedName name="PLP">#REF!</definedName>
    <definedName name="PR">#REF!</definedName>
    <definedName name="PRINT" localSheetId="12">#REF!</definedName>
    <definedName name="PRINT" localSheetId="13">#REF!</definedName>
    <definedName name="PRINT">#REF!</definedName>
    <definedName name="_xlnm.Print_Area" localSheetId="1">'1)Preliminary Work'!$A$1:$G$78</definedName>
    <definedName name="_xlnm.Print_Area" localSheetId="11">'10) HV &amp; Tranformer '!$A$1:$L$95</definedName>
    <definedName name="_xlnm.Print_Area" localSheetId="12">'11) Fire Alarm'!$A$1:$L$76</definedName>
    <definedName name="_xlnm.Print_Area" localSheetId="13">'12)GYM'!$A$1:$L$261</definedName>
    <definedName name="_xlnm.Print_Area" localSheetId="3">'2) Demolish Work'!$A$1:$M$32</definedName>
    <definedName name="_xlnm.Print_Area" localSheetId="4">'3)ACCOM. Sr.Officer TYP. '!$A$1:$M$280</definedName>
    <definedName name="_xlnm.Print_Area" localSheetId="5">'4)ACCOM. Officer TYP.'!$A$1:$M$270</definedName>
    <definedName name="_xlnm.Print_Area" localSheetId="6">'5) Main water supply and sewage'!$A$1:$L$37</definedName>
    <definedName name="_xlnm.Print_Area" localSheetId="7">'6)Road, Landscape and Drainage'!$A$1:$L$56</definedName>
    <definedName name="_xlnm.Print_Area" localSheetId="8">'7) Water Plant Phonchan'!$A$1:$L$139</definedName>
    <definedName name="_xlnm.Print_Area" localSheetId="9">'8) CCTV'!$A$1:$L$44</definedName>
    <definedName name="_xlnm.Print_Area" localSheetId="10">'9)Football Field New Accom'!$A$1:$M$61</definedName>
    <definedName name="_xlnm.Print_Area" localSheetId="15">Arch.!$A$1:$L$72</definedName>
    <definedName name="_xlnm.Print_Area" localSheetId="2">BOQ!$A$1:$L$321</definedName>
    <definedName name="_xlnm.Print_Area" localSheetId="16">'M&amp;E'!$A$2:$K$149</definedName>
    <definedName name="_xlnm.Print_Area" localSheetId="17">Sanitary!$A$1:$L$96</definedName>
    <definedName name="_xlnm.Print_Area" localSheetId="14">Structure!$A$1:$M$41</definedName>
    <definedName name="_xlnm.Print_Area" localSheetId="0">Summary!$A$1:$K$24</definedName>
    <definedName name="_xlnm.Print_Area">#REF!</definedName>
    <definedName name="Print_Area_MI" localSheetId="12">#REF!</definedName>
    <definedName name="Print_Area_MI" localSheetId="13">#REF!</definedName>
    <definedName name="Print_Area_MI" localSheetId="6">#REF!</definedName>
    <definedName name="Print_Area_MI" localSheetId="7">#REF!</definedName>
    <definedName name="Print_Area_MI" localSheetId="10">#REF!</definedName>
    <definedName name="Print_Area_MI">#REF!</definedName>
    <definedName name="Print_Area_MI___0" localSheetId="12">#REF!</definedName>
    <definedName name="Print_Area_MI___0" localSheetId="13">#REF!</definedName>
    <definedName name="Print_Area_MI___0" localSheetId="6">#REF!</definedName>
    <definedName name="Print_Area_MI___0" localSheetId="7">#REF!</definedName>
    <definedName name="Print_Area_MI___0" localSheetId="10">#REF!</definedName>
    <definedName name="Print_Area_MI___0">#REF!</definedName>
    <definedName name="Print_Area_MI___4">#REF!</definedName>
    <definedName name="_xlnm.Print_Titles" localSheetId="1">'1)Preliminary Work'!$1:$7</definedName>
    <definedName name="_xlnm.Print_Titles" localSheetId="12">'11) Fire Alarm'!$1:$9</definedName>
    <definedName name="_xlnm.Print_Titles" localSheetId="13">'12)GYM'!$1:$9</definedName>
    <definedName name="_xlnm.Print_Titles" localSheetId="3">'2) Demolish Work'!$1:$9</definedName>
    <definedName name="_xlnm.Print_Titles" localSheetId="4">'3)ACCOM. Sr.Officer TYP. '!$1:$9</definedName>
    <definedName name="_xlnm.Print_Titles" localSheetId="5">'4)ACCOM. Officer TYP.'!$1:$9</definedName>
    <definedName name="_xlnm.Print_Titles" localSheetId="6">'5) Main water supply and sewage'!$1:$9</definedName>
    <definedName name="_xlnm.Print_Titles" localSheetId="7">'6)Road, Landscape and Drainage'!$1:$9</definedName>
    <definedName name="_xlnm.Print_Titles" localSheetId="8">'7) Water Plant Phonchan'!$1:$6</definedName>
    <definedName name="_xlnm.Print_Titles" localSheetId="10">'9)Football Field New Accom'!$1:$9</definedName>
    <definedName name="_xlnm.Print_Titles" localSheetId="15">Arch.!$1:$9</definedName>
    <definedName name="_xlnm.Print_Titles" localSheetId="2">BOQ!$1:$9</definedName>
    <definedName name="_xlnm.Print_Titles" localSheetId="16">'M&amp;E'!$2:$9</definedName>
    <definedName name="_xlnm.Print_Titles" localSheetId="17">Sanitary!$1:$9</definedName>
    <definedName name="_xlnm.Print_Titles" localSheetId="14">Structure!$1:$9</definedName>
    <definedName name="_xlnm.Print_Titles" localSheetId="0">Summary!$1:$9</definedName>
    <definedName name="_xlnm.Print_Titles">[14]splinkler!$A$1:$IV$6</definedName>
    <definedName name="Print_Titles_MI" localSheetId="12">#REF!</definedName>
    <definedName name="Print_Titles_MI" localSheetId="13">#REF!</definedName>
    <definedName name="Print_Titles_MI" localSheetId="6">#REF!</definedName>
    <definedName name="Print_Titles_MI" localSheetId="7">#REF!</definedName>
    <definedName name="Print_Titles_MI" localSheetId="10">#REF!</definedName>
    <definedName name="Print_Titles_MI">#REF!</definedName>
    <definedName name="Print_Titles_MI___4" localSheetId="12">#REF!</definedName>
    <definedName name="Print_Titles_MI___4" localSheetId="13">#REF!</definedName>
    <definedName name="Print_Titles_MI___4" localSheetId="6">#REF!</definedName>
    <definedName name="Print_Titles_MI___4" localSheetId="7">#REF!</definedName>
    <definedName name="Print_Titles_MI___4" localSheetId="10">#REF!</definedName>
    <definedName name="Print_Titles_MI___4">#REF!</definedName>
    <definedName name="ProdForm" localSheetId="1" hidden="1">#REF!</definedName>
    <definedName name="ProdForm" localSheetId="12" hidden="1">#REF!</definedName>
    <definedName name="ProdForm" localSheetId="13" hidden="1">#REF!</definedName>
    <definedName name="ProdForm" localSheetId="6" hidden="1">#REF!</definedName>
    <definedName name="ProdForm" localSheetId="7" hidden="1">#REF!</definedName>
    <definedName name="ProdForm" localSheetId="10" hidden="1">#REF!</definedName>
    <definedName name="ProdForm" hidden="1">#REF!</definedName>
    <definedName name="Product" localSheetId="1" hidden="1">#REF!</definedName>
    <definedName name="Product" hidden="1">#REF!</definedName>
    <definedName name="PROJECT_NAME____Capsugel_Relocation_Project">#REF!</definedName>
    <definedName name="PUP">#REF!</definedName>
    <definedName name="q_ty">#REF!</definedName>
    <definedName name="qty">#REF!</definedName>
    <definedName name="qwww">[15]covere!#REF!</definedName>
    <definedName name="R_UNIT" localSheetId="12">#REF!</definedName>
    <definedName name="R_UNIT" localSheetId="13">#REF!</definedName>
    <definedName name="R_UNIT">#REF!</definedName>
    <definedName name="RATE">#REF!</definedName>
    <definedName name="RCArea" localSheetId="1" hidden="1">#REF!</definedName>
    <definedName name="RCArea" hidden="1">#REF!</definedName>
    <definedName name="RDU">#REF!</definedName>
    <definedName name="resource">'[16]Bill No. 2 - Carpark'!$A$1:$C$97</definedName>
    <definedName name="ResPricing" localSheetId="12">#REF!</definedName>
    <definedName name="ResPricing" localSheetId="13">#REF!</definedName>
    <definedName name="ResPricing" localSheetId="6">#REF!</definedName>
    <definedName name="ResPricing" localSheetId="7">#REF!</definedName>
    <definedName name="ResPricing" localSheetId="10">#REF!</definedName>
    <definedName name="ResPricing">#REF!</definedName>
    <definedName name="RESULT">#REF!</definedName>
    <definedName name="RFSL">#REF!</definedName>
    <definedName name="RINSU">#REF!</definedName>
    <definedName name="RLABO">#REF!</definedName>
    <definedName name="RMISC">#REF!</definedName>
    <definedName name="RNAME" localSheetId="12">#REF!</definedName>
    <definedName name="RNAME" localSheetId="13">#REF!</definedName>
    <definedName name="RNAME" localSheetId="6">#REF!</definedName>
    <definedName name="RNAME" localSheetId="7">#REF!</definedName>
    <definedName name="RNAME" localSheetId="10">#REF!</definedName>
    <definedName name="RNAME">#REF!</definedName>
    <definedName name="Roof">#REF!</definedName>
    <definedName name="Roofing">#REF!</definedName>
    <definedName name="ROUND" localSheetId="12">#REF!</definedName>
    <definedName name="ROUND" localSheetId="13">#REF!</definedName>
    <definedName name="ROUND" localSheetId="6">#REF!</definedName>
    <definedName name="ROUND" localSheetId="7">#REF!</definedName>
    <definedName name="ROUND" localSheetId="10">#REF!</definedName>
    <definedName name="ROUND">#REF!</definedName>
    <definedName name="ROUNDL">#REF!</definedName>
    <definedName name="ROUNDM">#REF!</definedName>
    <definedName name="RPAIN">#REF!</definedName>
    <definedName name="RSLEE">#REF!</definedName>
    <definedName name="RSUBT">#REF!</definedName>
    <definedName name="RSUM1">#REF!</definedName>
    <definedName name="RSUM2">#REF!</definedName>
    <definedName name="RSUM3">#REF!</definedName>
    <definedName name="RTEST">#REF!</definedName>
    <definedName name="S">#REF!</definedName>
    <definedName name="SAVE">#REF!</definedName>
    <definedName name="sf">#REF!</definedName>
    <definedName name="SFL">#REF!</definedName>
    <definedName name="SLEE">#REF!</definedName>
    <definedName name="SOH">#REF!</definedName>
    <definedName name="SpecialPrice" localSheetId="1" hidden="1">#REF!</definedName>
    <definedName name="SpecialPrice" hidden="1">#REF!</definedName>
    <definedName name="SSE">#REF!</definedName>
    <definedName name="START2">#REF!</definedName>
    <definedName name="Ston">#REF!</definedName>
    <definedName name="Stone">#REF!</definedName>
    <definedName name="STOP">#REF!</definedName>
    <definedName name="STOP2">#REF!</definedName>
    <definedName name="STOP2E">#REF!</definedName>
    <definedName name="STOPE">#REF!</definedName>
    <definedName name="SUBT">#REF!</definedName>
    <definedName name="sum2a">#REF!</definedName>
    <definedName name="sumi">#REF!</definedName>
    <definedName name="SUP">#REF!</definedName>
    <definedName name="SUPFS">#REF!</definedName>
    <definedName name="supp.subcon">'[2]Supp+Sub.con'!$B$4:$N$412</definedName>
    <definedName name="SUPT">#REF!</definedName>
    <definedName name="SUS">#REF!</definedName>
    <definedName name="T.">#N/A</definedName>
    <definedName name="T_">#N/A</definedName>
    <definedName name="tbl_ProdInfo" localSheetId="1" hidden="1">#REF!</definedName>
    <definedName name="tbl_ProdInfo" localSheetId="12" hidden="1">#REF!</definedName>
    <definedName name="tbl_ProdInfo" localSheetId="13" hidden="1">#REF!</definedName>
    <definedName name="tbl_ProdInfo" localSheetId="6" hidden="1">#REF!</definedName>
    <definedName name="tbl_ProdInfo" localSheetId="7" hidden="1">#REF!</definedName>
    <definedName name="tbl_ProdInfo" localSheetId="10" hidden="1">#REF!</definedName>
    <definedName name="tbl_ProdInfo" hidden="1">#REF!</definedName>
    <definedName name="Test" localSheetId="1">#REF!</definedName>
    <definedName name="Test" localSheetId="12">#REF!</definedName>
    <definedName name="Test" localSheetId="13">#REF!</definedName>
    <definedName name="Test" localSheetId="6">#REF!</definedName>
    <definedName name="Test" localSheetId="7">#REF!</definedName>
    <definedName name="Test" localSheetId="10">#REF!</definedName>
    <definedName name="Test">#REF!</definedName>
    <definedName name="Test_Pile">'[17]Back Up Pile Test'!$A$1:$O$40</definedName>
    <definedName name="Til">#REF!</definedName>
    <definedName name="Tile">#REF!</definedName>
    <definedName name="TITLE">#REF!</definedName>
    <definedName name="TOP">#REF!</definedName>
    <definedName name="TOTAL" localSheetId="12">#REF!</definedName>
    <definedName name="TOTAL" localSheetId="13">#REF!</definedName>
    <definedName name="TOTAL" localSheetId="6">#REF!</definedName>
    <definedName name="TOTAL" localSheetId="7">#REF!</definedName>
    <definedName name="TOTAL" localSheetId="10">#REF!</definedName>
    <definedName name="TOTAL">#REF!</definedName>
    <definedName name="total_lab" localSheetId="12">#REF!</definedName>
    <definedName name="total_lab" localSheetId="13">#REF!</definedName>
    <definedName name="total_lab" localSheetId="6">#REF!</definedName>
    <definedName name="total_lab" localSheetId="7">#REF!</definedName>
    <definedName name="total_lab" localSheetId="10">#REF!</definedName>
    <definedName name="total_lab">#REF!</definedName>
    <definedName name="total_mat" localSheetId="12">#REF!</definedName>
    <definedName name="total_mat" localSheetId="13">#REF!</definedName>
    <definedName name="total_mat" localSheetId="6">#REF!</definedName>
    <definedName name="total_mat" localSheetId="7">#REF!</definedName>
    <definedName name="total_mat" localSheetId="10">#REF!</definedName>
    <definedName name="total_mat">#REF!</definedName>
    <definedName name="Total3">#REF!</definedName>
    <definedName name="TRL">#REF!</definedName>
    <definedName name="TT1.1">'[8]BK Unit Rate'!#REF!</definedName>
    <definedName name="TT1.2">'[8]BK Unit Rate'!#REF!</definedName>
    <definedName name="TT1.3">'[8]BK Unit Rate'!#REF!</definedName>
    <definedName name="TT1.4">'[8]BK Unit Rate'!#REF!</definedName>
    <definedName name="TT1.5">'[8]BK Unit Rate'!#REF!</definedName>
    <definedName name="TT1.6">'[8]BK Unit Rate'!#REF!</definedName>
    <definedName name="TT1.7">'[8]BK Unit Rate'!#REF!</definedName>
    <definedName name="TT1.8">'[8]BK Unit Rate'!#REF!</definedName>
    <definedName name="TT1.9">'[8]BK Unit Rate'!#REF!</definedName>
    <definedName name="U_lab" localSheetId="12">#REF!</definedName>
    <definedName name="U_lab" localSheetId="13">#REF!</definedName>
    <definedName name="U_lab">#REF!</definedName>
    <definedName name="U_mat" localSheetId="12">#REF!</definedName>
    <definedName name="U_mat" localSheetId="13">#REF!</definedName>
    <definedName name="U_mat">#REF!</definedName>
    <definedName name="unit_lab" localSheetId="12">#REF!</definedName>
    <definedName name="unit_lab" localSheetId="13">#REF!</definedName>
    <definedName name="unit_lab">#REF!</definedName>
    <definedName name="unit_mat">#REF!</definedName>
    <definedName name="unit_total">#REF!</definedName>
    <definedName name="UPL">#REF!</definedName>
    <definedName name="V1_index">#REF!</definedName>
    <definedName name="V1_match">#REF!</definedName>
    <definedName name="V1A_index">#REF!</definedName>
    <definedName name="V1A_match">#REF!</definedName>
    <definedName name="V1B_index">#REF!</definedName>
    <definedName name="V1B_match">#REF!</definedName>
    <definedName name="V2_index">#REF!</definedName>
    <definedName name="V2_match">#REF!</definedName>
    <definedName name="VUP">#REF!</definedName>
    <definedName name="W">#REF!</definedName>
    <definedName name="Water">#REF!</definedName>
    <definedName name="Waterr">#REF!</definedName>
    <definedName name="WD">#REF!</definedName>
    <definedName name="wrn.A." localSheetId="12" hidden="1">{#N/A,#N/A,TRUE,"SUM";#N/A,#N/A,TRUE,"EE";#N/A,#N/A,TRUE,"AC";#N/A,#N/A,TRUE,"SN"}</definedName>
    <definedName name="wrn.A." localSheetId="13" hidden="1">{#N/A,#N/A,TRUE,"SUM";#N/A,#N/A,TRUE,"EE";#N/A,#N/A,TRUE,"AC";#N/A,#N/A,TRUE,"SN"}</definedName>
    <definedName name="wrn.A." localSheetId="6" hidden="1">{#N/A,#N/A,TRUE,"SUM";#N/A,#N/A,TRUE,"EE";#N/A,#N/A,TRUE,"AC";#N/A,#N/A,TRUE,"SN"}</definedName>
    <definedName name="wrn.A." localSheetId="7" hidden="1">{#N/A,#N/A,TRUE,"SUM";#N/A,#N/A,TRUE,"EE";#N/A,#N/A,TRUE,"AC";#N/A,#N/A,TRUE,"SN"}</definedName>
    <definedName name="wrn.A." localSheetId="10" hidden="1">{#N/A,#N/A,TRUE,"SUM";#N/A,#N/A,TRUE,"EE";#N/A,#N/A,TRUE,"AC";#N/A,#N/A,TRUE,"SN"}</definedName>
    <definedName name="wrn.A." hidden="1">{#N/A,#N/A,TRUE,"SUM";#N/A,#N/A,TRUE,"EE";#N/A,#N/A,TRUE,"AC";#N/A,#N/A,TRUE,"SN"}</definedName>
    <definedName name="wrn.BILLS._.OF._.QUANTITY." localSheetId="12" hidden="1">{#N/A,#N/A,TRUE,"Str.";#N/A,#N/A,TRUE,"Steel &amp; Roof";#N/A,#N/A,TRUE,"Arc.";#N/A,#N/A,TRUE,"Preliminary";#N/A,#N/A,TRUE,"Sum_Prelim"}</definedName>
    <definedName name="wrn.BILLS._.OF._.QUANTITY." localSheetId="13" hidden="1">{#N/A,#N/A,TRUE,"Str.";#N/A,#N/A,TRUE,"Steel &amp; Roof";#N/A,#N/A,TRUE,"Arc.";#N/A,#N/A,TRUE,"Preliminary";#N/A,#N/A,TRUE,"Sum_Prelim"}</definedName>
    <definedName name="wrn.BILLS._.OF._.QUANTITY." localSheetId="6" hidden="1">{#N/A,#N/A,TRUE,"Str.";#N/A,#N/A,TRUE,"Steel &amp; Roof";#N/A,#N/A,TRUE,"Arc.";#N/A,#N/A,TRUE,"Preliminary";#N/A,#N/A,TRUE,"Sum_Prelim"}</definedName>
    <definedName name="wrn.BILLS._.OF._.QUANTITY." localSheetId="7" hidden="1">{#N/A,#N/A,TRUE,"Str.";#N/A,#N/A,TRUE,"Steel &amp; Roof";#N/A,#N/A,TRUE,"Arc.";#N/A,#N/A,TRUE,"Preliminary";#N/A,#N/A,TRUE,"Sum_Prelim"}</definedName>
    <definedName name="wrn.BILLS._.OF._.QUANTITY." localSheetId="10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OOK11." localSheetId="12" hidden="1">{"SUM",#N/A,FALSE,"summary";"BOOK11-1",#N/A,FALSE,"1CityGarden";"BOOK11-2",#N/A,FALSE,"2CountryGarden";"BOOK11-3",#N/A,FALSE,"3JUNGLE";"BOOK11-4CIVIL",#N/A,FALSE,"CIVIL"}</definedName>
    <definedName name="wrn.BOOK11." localSheetId="13" hidden="1">{"SUM",#N/A,FALSE,"summary";"BOOK11-1",#N/A,FALSE,"1CityGarden";"BOOK11-2",#N/A,FALSE,"2CountryGarden";"BOOK11-3",#N/A,FALSE,"3JUNGLE";"BOOK11-4CIVIL",#N/A,FALSE,"CIVIL"}</definedName>
    <definedName name="wrn.BOOK11." localSheetId="6" hidden="1">{"SUM",#N/A,FALSE,"summary";"BOOK11-1",#N/A,FALSE,"1CityGarden";"BOOK11-2",#N/A,FALSE,"2CountryGarden";"BOOK11-3",#N/A,FALSE,"3JUNGLE";"BOOK11-4CIVIL",#N/A,FALSE,"CIVIL"}</definedName>
    <definedName name="wrn.BOOK11." localSheetId="7" hidden="1">{"SUM",#N/A,FALSE,"summary";"BOOK11-1",#N/A,FALSE,"1CityGarden";"BOOK11-2",#N/A,FALSE,"2CountryGarden";"BOOK11-3",#N/A,FALSE,"3JUNGLE";"BOOK11-4CIVIL",#N/A,FALSE,"CIVIL"}</definedName>
    <definedName name="wrn.BOOK11." localSheetId="10" hidden="1">{"SUM",#N/A,FALSE,"summary";"BOOK11-1",#N/A,FALSE,"1CityGarden";"BOOK11-2",#N/A,FALSE,"2CountryGarden";"BOOK11-3",#N/A,FALSE,"3JUNGLE";"BOOK11-4CIVIL",#N/A,FALSE,"CIVIL"}</definedName>
    <definedName name="wrn.BOOK11." hidden="1">{"SUM",#N/A,FALSE,"summary";"BOOK11-1",#N/A,FALSE,"1CityGarden";"BOOK11-2",#N/A,FALSE,"2CountryGarden";"BOOK11-3",#N/A,FALSE,"3JUNGLE";"BOOK11-4CIVIL",#N/A,FALSE,"CIVIL"}</definedName>
    <definedName name="wrn.CASH._.FLOW." localSheetId="12" hidden="1">{"CASH FLOW",#N/A,FALSE,"A"}</definedName>
    <definedName name="wrn.CASH._.FLOW." localSheetId="13" hidden="1">{"CASH FLOW",#N/A,FALSE,"A"}</definedName>
    <definedName name="wrn.CASH._.FLOW." localSheetId="6" hidden="1">{"CASH FLOW",#N/A,FALSE,"A"}</definedName>
    <definedName name="wrn.CASH._.FLOW." localSheetId="7" hidden="1">{"CASH FLOW",#N/A,FALSE,"A"}</definedName>
    <definedName name="wrn.CASH._.FLOW." localSheetId="10" hidden="1">{"CASH FLOW",#N/A,FALSE,"A"}</definedName>
    <definedName name="wrn.CASH._.FLOW." hidden="1">{"CASH FLOW",#N/A,FALSE,"A"}</definedName>
    <definedName name="wrn.FTS." localSheetId="12" hidden="1">{"FTS",#N/A,FALSE,"E"}</definedName>
    <definedName name="wrn.FTS." localSheetId="13" hidden="1">{"FTS",#N/A,FALSE,"E"}</definedName>
    <definedName name="wrn.FTS." localSheetId="6" hidden="1">{"FTS",#N/A,FALSE,"E"}</definedName>
    <definedName name="wrn.FTS." localSheetId="7" hidden="1">{"FTS",#N/A,FALSE,"E"}</definedName>
    <definedName name="wrn.FTS." localSheetId="10" hidden="1">{"FTS",#N/A,FALSE,"E"}</definedName>
    <definedName name="wrn.FTS." hidden="1">{"FTS",#N/A,FALSE,"E"}</definedName>
    <definedName name="wrn.FTS._.PLANT._.BREAKUP." localSheetId="12" hidden="1">{"PLANT BREAKUP",#N/A,FALSE,"E"}</definedName>
    <definedName name="wrn.FTS._.PLANT._.BREAKUP." localSheetId="13" hidden="1">{"PLANT BREAKUP",#N/A,FALSE,"E"}</definedName>
    <definedName name="wrn.FTS._.PLANT._.BREAKUP." localSheetId="6" hidden="1">{"PLANT BREAKUP",#N/A,FALSE,"E"}</definedName>
    <definedName name="wrn.FTS._.PLANT._.BREAKUP." localSheetId="7" hidden="1">{"PLANT BREAKUP",#N/A,FALSE,"E"}</definedName>
    <definedName name="wrn.FTS._.PLANT._.BREAKUP." localSheetId="10" hidden="1">{"PLANT BREAKUP",#N/A,FALSE,"E"}</definedName>
    <definedName name="wrn.FTS._.PLANT._.BREAKUP." hidden="1">{"PLANT BREAKUP",#N/A,FALSE,"E"}</definedName>
    <definedName name="wrn.PLANNING." localSheetId="12" hidden="1">{"PLANNING",#N/A,FALSE,"A"}</definedName>
    <definedName name="wrn.PLANNING." localSheetId="13" hidden="1">{"PLANNING",#N/A,FALSE,"A"}</definedName>
    <definedName name="wrn.PLANNING." localSheetId="6" hidden="1">{"PLANNING",#N/A,FALSE,"A"}</definedName>
    <definedName name="wrn.PLANNING." localSheetId="7" hidden="1">{"PLANNING",#N/A,FALSE,"A"}</definedName>
    <definedName name="wrn.PLANNING." localSheetId="10" hidden="1">{"PLANNING",#N/A,FALSE,"A"}</definedName>
    <definedName name="wrn.PLANNING." hidden="1">{"PLANNING",#N/A,FALSE,"A"}</definedName>
    <definedName name="wrn.summary." localSheetId="12" hidden="1">{"SUMMARY",#N/A,FALSE,"C"}</definedName>
    <definedName name="wrn.summary." localSheetId="13" hidden="1">{"SUMMARY",#N/A,FALSE,"C"}</definedName>
    <definedName name="wrn.summary." localSheetId="6" hidden="1">{"SUMMARY",#N/A,FALSE,"C"}</definedName>
    <definedName name="wrn.summary." localSheetId="7" hidden="1">{"SUMMARY",#N/A,FALSE,"C"}</definedName>
    <definedName name="wrn.summary." localSheetId="10" hidden="1">{"SUMMARY",#N/A,FALSE,"C"}</definedName>
    <definedName name="wrn.summary." hidden="1">{"SUMMARY",#N/A,FALSE,"C"}</definedName>
    <definedName name="wrn.修正分000918." localSheetId="12" hidden="1">{#N/A,#N/A,FALSE,"木之川高架橋数量総括表";#N/A,#N/A,FALSE,"木の川橋縦締め鋼材";#N/A,#N/A,FALSE,"木の川高架橋主桁鉄筋重量関係"}</definedName>
    <definedName name="wrn.修正分000918." localSheetId="13" hidden="1">{#N/A,#N/A,FALSE,"木之川高架橋数量総括表";#N/A,#N/A,FALSE,"木の川橋縦締め鋼材";#N/A,#N/A,FALSE,"木の川高架橋主桁鉄筋重量関係"}</definedName>
    <definedName name="wrn.修正分000918." localSheetId="6" hidden="1">{#N/A,#N/A,FALSE,"木之川高架橋数量総括表";#N/A,#N/A,FALSE,"木の川橋縦締め鋼材";#N/A,#N/A,FALSE,"木の川高架橋主桁鉄筋重量関係"}</definedName>
    <definedName name="wrn.修正分000918." localSheetId="7" hidden="1">{#N/A,#N/A,FALSE,"木之川高架橋数量総括表";#N/A,#N/A,FALSE,"木の川橋縦締め鋼材";#N/A,#N/A,FALSE,"木の川高架橋主桁鉄筋重量関係"}</definedName>
    <definedName name="wrn.修正分000918." localSheetId="10" hidden="1">{#N/A,#N/A,FALSE,"木之川高架橋数量総括表";#N/A,#N/A,FALSE,"木の川橋縦締め鋼材";#N/A,#N/A,FALSE,"木の川高架橋主桁鉄筋重量関係"}</definedName>
    <definedName name="wrn.修正分000918." hidden="1">{#N/A,#N/A,FALSE,"木之川高架橋数量総括表";#N/A,#N/A,FALSE,"木の川橋縦締め鋼材";#N/A,#N/A,FALSE,"木の川高架橋主桁鉄筋重量関係"}</definedName>
    <definedName name="wrn.千里口橋詳細材料計算書." localSheetId="12" hidden="1">{#N/A,#N/A,FALSE,"千里口橋材料計算もくじ";#N/A,#N/A,FALSE,"千里口橋数量総括表";#N/A,#N/A,FALSE,"千里口橋材料中表紙";#N/A,#N/A,FALSE,"千里口橋材料集計表";#N/A,#N/A,FALSE,"千里口橋柱頭部Ｐ１橋脚部";#N/A,#N/A,FALSE,"千里口橋柱頭部Ｐ２橋脚部";#N/A,#N/A,FALSE,"千里口橋張出し施工部";#N/A,#N/A,FALSE,"千里口橋Ａ１側支保工施工部";#N/A,#N/A,FALSE,"千里口橋Ａ２側支保工施工部";#N/A,#N/A,FALSE,"千里口橋吊り支保工施工部";#N/A,#N/A,FALSE,"千里口橋中間隔壁部";#N/A,#N/A,FALSE,"千里口橋ＰＣ定着突起部";#N/A,#N/A,FALSE,"千里口第２橋ﾚｱｰｺﾝｸﾘｰﾄ型枠工";#N/A,#N/A,FALSE,"千里口橋主桁打下ろし部";#N/A,#N/A,FALSE,"千里口第２橋伸縮切欠工";#N/A,#N/A,FALSE,"千里口橋ＰＣ鋼材重量";#N/A,#N/A,FALSE,"主桁鉄筋重量関係";#N/A,#N/A,FALSE,"千里口橋地覆工";#N/A,#N/A,FALSE,"千里口橋橋面舗装工";#N/A,#N/A,FALSE,"千里口調整ｺﾝｸﾘｰﾄ工";#N/A,#N/A,FALSE,"支保工数量";#N/A,#N/A,FALSE,"中央閉合部数量"}</definedName>
    <definedName name="wrn.千里口橋詳細材料計算書." localSheetId="13" hidden="1">{#N/A,#N/A,FALSE,"千里口橋材料計算もくじ";#N/A,#N/A,FALSE,"千里口橋数量総括表";#N/A,#N/A,FALSE,"千里口橋材料中表紙";#N/A,#N/A,FALSE,"千里口橋材料集計表";#N/A,#N/A,FALSE,"千里口橋柱頭部Ｐ１橋脚部";#N/A,#N/A,FALSE,"千里口橋柱頭部Ｐ２橋脚部";#N/A,#N/A,FALSE,"千里口橋張出し施工部";#N/A,#N/A,FALSE,"千里口橋Ａ１側支保工施工部";#N/A,#N/A,FALSE,"千里口橋Ａ２側支保工施工部";#N/A,#N/A,FALSE,"千里口橋吊り支保工施工部";#N/A,#N/A,FALSE,"千里口橋中間隔壁部";#N/A,#N/A,FALSE,"千里口橋ＰＣ定着突起部";#N/A,#N/A,FALSE,"千里口第２橋ﾚｱｰｺﾝｸﾘｰﾄ型枠工";#N/A,#N/A,FALSE,"千里口橋主桁打下ろし部";#N/A,#N/A,FALSE,"千里口第２橋伸縮切欠工";#N/A,#N/A,FALSE,"千里口橋ＰＣ鋼材重量";#N/A,#N/A,FALSE,"主桁鉄筋重量関係";#N/A,#N/A,FALSE,"千里口橋地覆工";#N/A,#N/A,FALSE,"千里口橋橋面舗装工";#N/A,#N/A,FALSE,"千里口調整ｺﾝｸﾘｰﾄ工";#N/A,#N/A,FALSE,"支保工数量";#N/A,#N/A,FALSE,"中央閉合部数量"}</definedName>
    <definedName name="wrn.千里口橋詳細材料計算書." localSheetId="6" hidden="1">{#N/A,#N/A,FALSE,"千里口橋材料計算もくじ";#N/A,#N/A,FALSE,"千里口橋数量総括表";#N/A,#N/A,FALSE,"千里口橋材料中表紙";#N/A,#N/A,FALSE,"千里口橋材料集計表";#N/A,#N/A,FALSE,"千里口橋柱頭部Ｐ１橋脚部";#N/A,#N/A,FALSE,"千里口橋柱頭部Ｐ２橋脚部";#N/A,#N/A,FALSE,"千里口橋張出し施工部";#N/A,#N/A,FALSE,"千里口橋Ａ１側支保工施工部";#N/A,#N/A,FALSE,"千里口橋Ａ２側支保工施工部";#N/A,#N/A,FALSE,"千里口橋吊り支保工施工部";#N/A,#N/A,FALSE,"千里口橋中間隔壁部";#N/A,#N/A,FALSE,"千里口橋ＰＣ定着突起部";#N/A,#N/A,FALSE,"千里口第２橋ﾚｱｰｺﾝｸﾘｰﾄ型枠工";#N/A,#N/A,FALSE,"千里口橋主桁打下ろし部";#N/A,#N/A,FALSE,"千里口第２橋伸縮切欠工";#N/A,#N/A,FALSE,"千里口橋ＰＣ鋼材重量";#N/A,#N/A,FALSE,"主桁鉄筋重量関係";#N/A,#N/A,FALSE,"千里口橋地覆工";#N/A,#N/A,FALSE,"千里口橋橋面舗装工";#N/A,#N/A,FALSE,"千里口調整ｺﾝｸﾘｰﾄ工";#N/A,#N/A,FALSE,"支保工数量";#N/A,#N/A,FALSE,"中央閉合部数量"}</definedName>
    <definedName name="wrn.千里口橋詳細材料計算書." localSheetId="7" hidden="1">{#N/A,#N/A,FALSE,"千里口橋材料計算もくじ";#N/A,#N/A,FALSE,"千里口橋数量総括表";#N/A,#N/A,FALSE,"千里口橋材料中表紙";#N/A,#N/A,FALSE,"千里口橋材料集計表";#N/A,#N/A,FALSE,"千里口橋柱頭部Ｐ１橋脚部";#N/A,#N/A,FALSE,"千里口橋柱頭部Ｐ２橋脚部";#N/A,#N/A,FALSE,"千里口橋張出し施工部";#N/A,#N/A,FALSE,"千里口橋Ａ１側支保工施工部";#N/A,#N/A,FALSE,"千里口橋Ａ２側支保工施工部";#N/A,#N/A,FALSE,"千里口橋吊り支保工施工部";#N/A,#N/A,FALSE,"千里口橋中間隔壁部";#N/A,#N/A,FALSE,"千里口橋ＰＣ定着突起部";#N/A,#N/A,FALSE,"千里口第２橋ﾚｱｰｺﾝｸﾘｰﾄ型枠工";#N/A,#N/A,FALSE,"千里口橋主桁打下ろし部";#N/A,#N/A,FALSE,"千里口第２橋伸縮切欠工";#N/A,#N/A,FALSE,"千里口橋ＰＣ鋼材重量";#N/A,#N/A,FALSE,"主桁鉄筋重量関係";#N/A,#N/A,FALSE,"千里口橋地覆工";#N/A,#N/A,FALSE,"千里口橋橋面舗装工";#N/A,#N/A,FALSE,"千里口調整ｺﾝｸﾘｰﾄ工";#N/A,#N/A,FALSE,"支保工数量";#N/A,#N/A,FALSE,"中央閉合部数量"}</definedName>
    <definedName name="wrn.千里口橋詳細材料計算書." localSheetId="10" hidden="1">{#N/A,#N/A,FALSE,"千里口橋材料計算もくじ";#N/A,#N/A,FALSE,"千里口橋数量総括表";#N/A,#N/A,FALSE,"千里口橋材料中表紙";#N/A,#N/A,FALSE,"千里口橋材料集計表";#N/A,#N/A,FALSE,"千里口橋柱頭部Ｐ１橋脚部";#N/A,#N/A,FALSE,"千里口橋柱頭部Ｐ２橋脚部";#N/A,#N/A,FALSE,"千里口橋張出し施工部";#N/A,#N/A,FALSE,"千里口橋Ａ１側支保工施工部";#N/A,#N/A,FALSE,"千里口橋Ａ２側支保工施工部";#N/A,#N/A,FALSE,"千里口橋吊り支保工施工部";#N/A,#N/A,FALSE,"千里口橋中間隔壁部";#N/A,#N/A,FALSE,"千里口橋ＰＣ定着突起部";#N/A,#N/A,FALSE,"千里口第２橋ﾚｱｰｺﾝｸﾘｰﾄ型枠工";#N/A,#N/A,FALSE,"千里口橋主桁打下ろし部";#N/A,#N/A,FALSE,"千里口第２橋伸縮切欠工";#N/A,#N/A,FALSE,"千里口橋ＰＣ鋼材重量";#N/A,#N/A,FALSE,"主桁鉄筋重量関係";#N/A,#N/A,FALSE,"千里口橋地覆工";#N/A,#N/A,FALSE,"千里口橋橋面舗装工";#N/A,#N/A,FALSE,"千里口調整ｺﾝｸﾘｰﾄ工";#N/A,#N/A,FALSE,"支保工数量";#N/A,#N/A,FALSE,"中央閉合部数量"}</definedName>
    <definedName name="wrn.千里口橋詳細材料計算書." hidden="1">{#N/A,#N/A,FALSE,"千里口橋材料計算もくじ";#N/A,#N/A,FALSE,"千里口橋数量総括表";#N/A,#N/A,FALSE,"千里口橋材料中表紙";#N/A,#N/A,FALSE,"千里口橋材料集計表";#N/A,#N/A,FALSE,"千里口橋柱頭部Ｐ１橋脚部";#N/A,#N/A,FALSE,"千里口橋柱頭部Ｐ２橋脚部";#N/A,#N/A,FALSE,"千里口橋張出し施工部";#N/A,#N/A,FALSE,"千里口橋Ａ１側支保工施工部";#N/A,#N/A,FALSE,"千里口橋Ａ２側支保工施工部";#N/A,#N/A,FALSE,"千里口橋吊り支保工施工部";#N/A,#N/A,FALSE,"千里口橋中間隔壁部";#N/A,#N/A,FALSE,"千里口橋ＰＣ定着突起部";#N/A,#N/A,FALSE,"千里口第２橋ﾚｱｰｺﾝｸﾘｰﾄ型枠工";#N/A,#N/A,FALSE,"千里口橋主桁打下ろし部";#N/A,#N/A,FALSE,"千里口第２橋伸縮切欠工";#N/A,#N/A,FALSE,"千里口橋ＰＣ鋼材重量";#N/A,#N/A,FALSE,"主桁鉄筋重量関係";#N/A,#N/A,FALSE,"千里口橋地覆工";#N/A,#N/A,FALSE,"千里口橋橋面舗装工";#N/A,#N/A,FALSE,"千里口調整ｺﾝｸﾘｰﾄ工";#N/A,#N/A,FALSE,"支保工数量";#N/A,#N/A,FALSE,"中央閉合部数量"}</definedName>
    <definedName name="wrn.吉峰高架橋補足分." localSheetId="12" hidden="1">{#N/A,#N/A,FALSE,"吉峰高架橋数量総括表";#N/A,#N/A,FALSE,"吉峰橋縦締め鋼材";#N/A,#N/A,FALSE,"吉峰橋床版横締め鋼材";#N/A,#N/A,FALSE,"吉峰高架橋主桁鉄筋重量関係";#N/A,#N/A,FALSE,"吉峰高架橋壁高欄ｺﾝｸﾘｰﾄ型枠面積の計算";#N/A,#N/A,FALSE,"吉峰高架橋数量もくじ"}</definedName>
    <definedName name="wrn.吉峰高架橋補足分." localSheetId="13" hidden="1">{#N/A,#N/A,FALSE,"吉峰高架橋数量総括表";#N/A,#N/A,FALSE,"吉峰橋縦締め鋼材";#N/A,#N/A,FALSE,"吉峰橋床版横締め鋼材";#N/A,#N/A,FALSE,"吉峰高架橋主桁鉄筋重量関係";#N/A,#N/A,FALSE,"吉峰高架橋壁高欄ｺﾝｸﾘｰﾄ型枠面積の計算";#N/A,#N/A,FALSE,"吉峰高架橋数量もくじ"}</definedName>
    <definedName name="wrn.吉峰高架橋補足分." localSheetId="6" hidden="1">{#N/A,#N/A,FALSE,"吉峰高架橋数量総括表";#N/A,#N/A,FALSE,"吉峰橋縦締め鋼材";#N/A,#N/A,FALSE,"吉峰橋床版横締め鋼材";#N/A,#N/A,FALSE,"吉峰高架橋主桁鉄筋重量関係";#N/A,#N/A,FALSE,"吉峰高架橋壁高欄ｺﾝｸﾘｰﾄ型枠面積の計算";#N/A,#N/A,FALSE,"吉峰高架橋数量もくじ"}</definedName>
    <definedName name="wrn.吉峰高架橋補足分." localSheetId="7" hidden="1">{#N/A,#N/A,FALSE,"吉峰高架橋数量総括表";#N/A,#N/A,FALSE,"吉峰橋縦締め鋼材";#N/A,#N/A,FALSE,"吉峰橋床版横締め鋼材";#N/A,#N/A,FALSE,"吉峰高架橋主桁鉄筋重量関係";#N/A,#N/A,FALSE,"吉峰高架橋壁高欄ｺﾝｸﾘｰﾄ型枠面積の計算";#N/A,#N/A,FALSE,"吉峰高架橋数量もくじ"}</definedName>
    <definedName name="wrn.吉峰高架橋補足分." localSheetId="10" hidden="1">{#N/A,#N/A,FALSE,"吉峰高架橋数量総括表";#N/A,#N/A,FALSE,"吉峰橋縦締め鋼材";#N/A,#N/A,FALSE,"吉峰橋床版横締め鋼材";#N/A,#N/A,FALSE,"吉峰高架橋主桁鉄筋重量関係";#N/A,#N/A,FALSE,"吉峰高架橋壁高欄ｺﾝｸﾘｰﾄ型枠面積の計算";#N/A,#N/A,FALSE,"吉峰高架橋数量もくじ"}</definedName>
    <definedName name="wrn.吉峰高架橋補足分." hidden="1">{#N/A,#N/A,FALSE,"吉峰高架橋数量総括表";#N/A,#N/A,FALSE,"吉峰橋縦締め鋼材";#N/A,#N/A,FALSE,"吉峰橋床版横締め鋼材";#N/A,#N/A,FALSE,"吉峰高架橋主桁鉄筋重量関係";#N/A,#N/A,FALSE,"吉峰高架橋壁高欄ｺﾝｸﾘｰﾄ型枠面積の計算";#N/A,#N/A,FALSE,"吉峰高架橋数量もくじ"}</definedName>
    <definedName name="wrn.吉峰高架橋詳細材料計算ﾚﾎﾟｰﾄ." localSheetId="12" hidden="1">{#N/A,#N/A,FALSE,"吉峰高架橋数量もくじ";#N/A,#N/A,FALSE,"吉峰高架橋数量総括表";#N/A,#N/A,FALSE,"吉峰高架橋中表紙";#N/A,#N/A,FALSE,"吉峰高架橋数値関係表";#N/A,#N/A,FALSE,"吉峰高架橋主桁断面積周長の計算";#N/A,#N/A,FALSE,"吉峰主桁本体材料";#N/A,#N/A,FALSE,"横桁関係";#N/A,#N/A,FALSE,"吉峰ＰＣ定着突起部";#N/A,#N/A,FALSE,"吉峰橋ﾚｱｰｺﾝｸﾘｰﾄ型枠工";#N/A,#N/A,FALSE,"吉峰高架橋橋脚部定着突起部";#N/A,#N/A,FALSE,"吉峰高架橋伸縮切欠";#N/A,#N/A,FALSE,"吉峰主桁材料集計表";#N/A,#N/A,FALSE,"吉峰橋縦締め鋼材";#N/A,#N/A,FALSE,"吉峰橋床版横締め鋼材";#N/A,#N/A,FALSE,"吉峰高架橋主桁鉄筋重量関係";#N/A,#N/A,FALSE,"吉峰高架橋壁高欄断面積及び型枠周長の計算";#N/A,#N/A,FALSE,"吉峰高架橋壁高欄ｺﾝｸﾘｰﾄ型枠面積の計算"}</definedName>
    <definedName name="wrn.吉峰高架橋詳細材料計算ﾚﾎﾟｰﾄ." localSheetId="13" hidden="1">{#N/A,#N/A,FALSE,"吉峰高架橋数量もくじ";#N/A,#N/A,FALSE,"吉峰高架橋数量総括表";#N/A,#N/A,FALSE,"吉峰高架橋中表紙";#N/A,#N/A,FALSE,"吉峰高架橋数値関係表";#N/A,#N/A,FALSE,"吉峰高架橋主桁断面積周長の計算";#N/A,#N/A,FALSE,"吉峰主桁本体材料";#N/A,#N/A,FALSE,"横桁関係";#N/A,#N/A,FALSE,"吉峰ＰＣ定着突起部";#N/A,#N/A,FALSE,"吉峰橋ﾚｱｰｺﾝｸﾘｰﾄ型枠工";#N/A,#N/A,FALSE,"吉峰高架橋橋脚部定着突起部";#N/A,#N/A,FALSE,"吉峰高架橋伸縮切欠";#N/A,#N/A,FALSE,"吉峰主桁材料集計表";#N/A,#N/A,FALSE,"吉峰橋縦締め鋼材";#N/A,#N/A,FALSE,"吉峰橋床版横締め鋼材";#N/A,#N/A,FALSE,"吉峰高架橋主桁鉄筋重量関係";#N/A,#N/A,FALSE,"吉峰高架橋壁高欄断面積及び型枠周長の計算";#N/A,#N/A,FALSE,"吉峰高架橋壁高欄ｺﾝｸﾘｰﾄ型枠面積の計算"}</definedName>
    <definedName name="wrn.吉峰高架橋詳細材料計算ﾚﾎﾟｰﾄ." localSheetId="6" hidden="1">{#N/A,#N/A,FALSE,"吉峰高架橋数量もくじ";#N/A,#N/A,FALSE,"吉峰高架橋数量総括表";#N/A,#N/A,FALSE,"吉峰高架橋中表紙";#N/A,#N/A,FALSE,"吉峰高架橋数値関係表";#N/A,#N/A,FALSE,"吉峰高架橋主桁断面積周長の計算";#N/A,#N/A,FALSE,"吉峰主桁本体材料";#N/A,#N/A,FALSE,"横桁関係";#N/A,#N/A,FALSE,"吉峰ＰＣ定着突起部";#N/A,#N/A,FALSE,"吉峰橋ﾚｱｰｺﾝｸﾘｰﾄ型枠工";#N/A,#N/A,FALSE,"吉峰高架橋橋脚部定着突起部";#N/A,#N/A,FALSE,"吉峰高架橋伸縮切欠";#N/A,#N/A,FALSE,"吉峰主桁材料集計表";#N/A,#N/A,FALSE,"吉峰橋縦締め鋼材";#N/A,#N/A,FALSE,"吉峰橋床版横締め鋼材";#N/A,#N/A,FALSE,"吉峰高架橋主桁鉄筋重量関係";#N/A,#N/A,FALSE,"吉峰高架橋壁高欄断面積及び型枠周長の計算";#N/A,#N/A,FALSE,"吉峰高架橋壁高欄ｺﾝｸﾘｰﾄ型枠面積の計算"}</definedName>
    <definedName name="wrn.吉峰高架橋詳細材料計算ﾚﾎﾟｰﾄ." localSheetId="7" hidden="1">{#N/A,#N/A,FALSE,"吉峰高架橋数量もくじ";#N/A,#N/A,FALSE,"吉峰高架橋数量総括表";#N/A,#N/A,FALSE,"吉峰高架橋中表紙";#N/A,#N/A,FALSE,"吉峰高架橋数値関係表";#N/A,#N/A,FALSE,"吉峰高架橋主桁断面積周長の計算";#N/A,#N/A,FALSE,"吉峰主桁本体材料";#N/A,#N/A,FALSE,"横桁関係";#N/A,#N/A,FALSE,"吉峰ＰＣ定着突起部";#N/A,#N/A,FALSE,"吉峰橋ﾚｱｰｺﾝｸﾘｰﾄ型枠工";#N/A,#N/A,FALSE,"吉峰高架橋橋脚部定着突起部";#N/A,#N/A,FALSE,"吉峰高架橋伸縮切欠";#N/A,#N/A,FALSE,"吉峰主桁材料集計表";#N/A,#N/A,FALSE,"吉峰橋縦締め鋼材";#N/A,#N/A,FALSE,"吉峰橋床版横締め鋼材";#N/A,#N/A,FALSE,"吉峰高架橋主桁鉄筋重量関係";#N/A,#N/A,FALSE,"吉峰高架橋壁高欄断面積及び型枠周長の計算";#N/A,#N/A,FALSE,"吉峰高架橋壁高欄ｺﾝｸﾘｰﾄ型枠面積の計算"}</definedName>
    <definedName name="wrn.吉峰高架橋詳細材料計算ﾚﾎﾟｰﾄ." localSheetId="10" hidden="1">{#N/A,#N/A,FALSE,"吉峰高架橋数量もくじ";#N/A,#N/A,FALSE,"吉峰高架橋数量総括表";#N/A,#N/A,FALSE,"吉峰高架橋中表紙";#N/A,#N/A,FALSE,"吉峰高架橋数値関係表";#N/A,#N/A,FALSE,"吉峰高架橋主桁断面積周長の計算";#N/A,#N/A,FALSE,"吉峰主桁本体材料";#N/A,#N/A,FALSE,"横桁関係";#N/A,#N/A,FALSE,"吉峰ＰＣ定着突起部";#N/A,#N/A,FALSE,"吉峰橋ﾚｱｰｺﾝｸﾘｰﾄ型枠工";#N/A,#N/A,FALSE,"吉峰高架橋橋脚部定着突起部";#N/A,#N/A,FALSE,"吉峰高架橋伸縮切欠";#N/A,#N/A,FALSE,"吉峰主桁材料集計表";#N/A,#N/A,FALSE,"吉峰橋縦締め鋼材";#N/A,#N/A,FALSE,"吉峰橋床版横締め鋼材";#N/A,#N/A,FALSE,"吉峰高架橋主桁鉄筋重量関係";#N/A,#N/A,FALSE,"吉峰高架橋壁高欄断面積及び型枠周長の計算";#N/A,#N/A,FALSE,"吉峰高架橋壁高欄ｺﾝｸﾘｰﾄ型枠面積の計算"}</definedName>
    <definedName name="wrn.吉峰高架橋詳細材料計算ﾚﾎﾟｰﾄ." hidden="1">{#N/A,#N/A,FALSE,"吉峰高架橋数量もくじ";#N/A,#N/A,FALSE,"吉峰高架橋数量総括表";#N/A,#N/A,FALSE,"吉峰高架橋中表紙";#N/A,#N/A,FALSE,"吉峰高架橋数値関係表";#N/A,#N/A,FALSE,"吉峰高架橋主桁断面積周長の計算";#N/A,#N/A,FALSE,"吉峰主桁本体材料";#N/A,#N/A,FALSE,"横桁関係";#N/A,#N/A,FALSE,"吉峰ＰＣ定着突起部";#N/A,#N/A,FALSE,"吉峰橋ﾚｱｰｺﾝｸﾘｰﾄ型枠工";#N/A,#N/A,FALSE,"吉峰高架橋橋脚部定着突起部";#N/A,#N/A,FALSE,"吉峰高架橋伸縮切欠";#N/A,#N/A,FALSE,"吉峰主桁材料集計表";#N/A,#N/A,FALSE,"吉峰橋縦締め鋼材";#N/A,#N/A,FALSE,"吉峰橋床版横締め鋼材";#N/A,#N/A,FALSE,"吉峰高架橋主桁鉄筋重量関係";#N/A,#N/A,FALSE,"吉峰高架橋壁高欄断面積及び型枠周長の計算";#N/A,#N/A,FALSE,"吉峰高架橋壁高欄ｺﾝｸﾘｰﾄ型枠面積の計算"}</definedName>
    <definedName name="wrn.尾原橋_詳細数量計算書." localSheetId="12" hidden="1">{#N/A,#N/A,FALSE,"もくじ";#N/A,#N/A,FALSE,"数量総括表";#N/A,#N/A,FALSE,"中表紙";#N/A,#N/A,FALSE,"主桁ｺﾝｸﾘｰﾄ型枠総集計表";#N/A,#N/A,FALSE,"張出し施工区間部主桁断面積及び型枠周長の計算";#N/A,#N/A,FALSE,"張出し施工区間部ｺﾝｸﾘｰﾄ型枠";#N/A,#N/A,FALSE,"柱頭部Ｐ１橋脚部";#N/A,#N/A,FALSE,"柱頭部Ｐ2橋脚部";#N/A,#N/A,FALSE,"左側支保工施工部";#N/A,#N/A,FALSE,"右側支保工施工部";#N/A,#N/A,FALSE,"吊り支保工施工部";#N/A,#N/A,FALSE,"中間隔壁部";#N/A,#N/A,FALSE,"偏向ﾌﾞﾗｹｯﾄ";#N/A,#N/A,FALSE,"ＰＣ定着突起部"}</definedName>
    <definedName name="wrn.尾原橋_詳細数量計算書." localSheetId="13" hidden="1">{#N/A,#N/A,FALSE,"もくじ";#N/A,#N/A,FALSE,"数量総括表";#N/A,#N/A,FALSE,"中表紙";#N/A,#N/A,FALSE,"主桁ｺﾝｸﾘｰﾄ型枠総集計表";#N/A,#N/A,FALSE,"張出し施工区間部主桁断面積及び型枠周長の計算";#N/A,#N/A,FALSE,"張出し施工区間部ｺﾝｸﾘｰﾄ型枠";#N/A,#N/A,FALSE,"柱頭部Ｐ１橋脚部";#N/A,#N/A,FALSE,"柱頭部Ｐ2橋脚部";#N/A,#N/A,FALSE,"左側支保工施工部";#N/A,#N/A,FALSE,"右側支保工施工部";#N/A,#N/A,FALSE,"吊り支保工施工部";#N/A,#N/A,FALSE,"中間隔壁部";#N/A,#N/A,FALSE,"偏向ﾌﾞﾗｹｯﾄ";#N/A,#N/A,FALSE,"ＰＣ定着突起部"}</definedName>
    <definedName name="wrn.尾原橋_詳細数量計算書." localSheetId="6" hidden="1">{#N/A,#N/A,FALSE,"もくじ";#N/A,#N/A,FALSE,"数量総括表";#N/A,#N/A,FALSE,"中表紙";#N/A,#N/A,FALSE,"主桁ｺﾝｸﾘｰﾄ型枠総集計表";#N/A,#N/A,FALSE,"張出し施工区間部主桁断面積及び型枠周長の計算";#N/A,#N/A,FALSE,"張出し施工区間部ｺﾝｸﾘｰﾄ型枠";#N/A,#N/A,FALSE,"柱頭部Ｐ１橋脚部";#N/A,#N/A,FALSE,"柱頭部Ｐ2橋脚部";#N/A,#N/A,FALSE,"左側支保工施工部";#N/A,#N/A,FALSE,"右側支保工施工部";#N/A,#N/A,FALSE,"吊り支保工施工部";#N/A,#N/A,FALSE,"中間隔壁部";#N/A,#N/A,FALSE,"偏向ﾌﾞﾗｹｯﾄ";#N/A,#N/A,FALSE,"ＰＣ定着突起部"}</definedName>
    <definedName name="wrn.尾原橋_詳細数量計算書." localSheetId="7" hidden="1">{#N/A,#N/A,FALSE,"もくじ";#N/A,#N/A,FALSE,"数量総括表";#N/A,#N/A,FALSE,"中表紙";#N/A,#N/A,FALSE,"主桁ｺﾝｸﾘｰﾄ型枠総集計表";#N/A,#N/A,FALSE,"張出し施工区間部主桁断面積及び型枠周長の計算";#N/A,#N/A,FALSE,"張出し施工区間部ｺﾝｸﾘｰﾄ型枠";#N/A,#N/A,FALSE,"柱頭部Ｐ１橋脚部";#N/A,#N/A,FALSE,"柱頭部Ｐ2橋脚部";#N/A,#N/A,FALSE,"左側支保工施工部";#N/A,#N/A,FALSE,"右側支保工施工部";#N/A,#N/A,FALSE,"吊り支保工施工部";#N/A,#N/A,FALSE,"中間隔壁部";#N/A,#N/A,FALSE,"偏向ﾌﾞﾗｹｯﾄ";#N/A,#N/A,FALSE,"ＰＣ定着突起部"}</definedName>
    <definedName name="wrn.尾原橋_詳細数量計算書." localSheetId="10" hidden="1">{#N/A,#N/A,FALSE,"もくじ";#N/A,#N/A,FALSE,"数量総括表";#N/A,#N/A,FALSE,"中表紙";#N/A,#N/A,FALSE,"主桁ｺﾝｸﾘｰﾄ型枠総集計表";#N/A,#N/A,FALSE,"張出し施工区間部主桁断面積及び型枠周長の計算";#N/A,#N/A,FALSE,"張出し施工区間部ｺﾝｸﾘｰﾄ型枠";#N/A,#N/A,FALSE,"柱頭部Ｐ１橋脚部";#N/A,#N/A,FALSE,"柱頭部Ｐ2橋脚部";#N/A,#N/A,FALSE,"左側支保工施工部";#N/A,#N/A,FALSE,"右側支保工施工部";#N/A,#N/A,FALSE,"吊り支保工施工部";#N/A,#N/A,FALSE,"中間隔壁部";#N/A,#N/A,FALSE,"偏向ﾌﾞﾗｹｯﾄ";#N/A,#N/A,FALSE,"ＰＣ定着突起部"}</definedName>
    <definedName name="wrn.尾原橋_詳細数量計算書." hidden="1">{#N/A,#N/A,FALSE,"もくじ";#N/A,#N/A,FALSE,"数量総括表";#N/A,#N/A,FALSE,"中表紙";#N/A,#N/A,FALSE,"主桁ｺﾝｸﾘｰﾄ型枠総集計表";#N/A,#N/A,FALSE,"張出し施工区間部主桁断面積及び型枠周長の計算";#N/A,#N/A,FALSE,"張出し施工区間部ｺﾝｸﾘｰﾄ型枠";#N/A,#N/A,FALSE,"柱頭部Ｐ１橋脚部";#N/A,#N/A,FALSE,"柱頭部Ｐ2橋脚部";#N/A,#N/A,FALSE,"左側支保工施工部";#N/A,#N/A,FALSE,"右側支保工施工部";#N/A,#N/A,FALSE,"吊り支保工施工部";#N/A,#N/A,FALSE,"中間隔壁部";#N/A,#N/A,FALSE,"偏向ﾌﾞﾗｹｯﾄ";#N/A,#N/A,FALSE,"ＰＣ定着突起部"}</definedName>
    <definedName name="wrn.岩戸橋." localSheetId="12" hidden="1">{#N/A,#N/A,FALSE,"材料計算もくじ";#N/A,#N/A,FALSE,"数量総括表";#N/A,#N/A,FALSE,"主桁ｺﾝ及び型枠";#N/A,#N/A,FALSE,"横桁開口部";#N/A,#N/A,FALSE,"下床版開口部";#N/A,#N/A,FALSE,"ﾚｱｰｺﾝｸﾘｰﾄ型枠工";#N/A,#N/A,FALSE,"床版打下部";#N/A,#N/A,FALSE,"主桁桁打下部";#N/A,#N/A,FALSE,"伸縮控除";#N/A,#N/A,FALSE,"主桁ｺﾝ型枠集計表";#N/A,#N/A,FALSE,"縦締め鋼材";#N/A,#N/A,FALSE,"床版横締め鋼材";#N/A,#N/A,FALSE,"鉄筋重量集計";#N/A,#N/A,FALSE,"地覆工";#N/A,#N/A,FALSE,"橋面舗装工";#N/A,#N/A,FALSE,"排水装置工";#N/A,#N/A,FALSE,"伸縮継手工";#N/A,#N/A,FALSE,"落橋防止工";#N/A,#N/A,FALSE,"検査路工"}</definedName>
    <definedName name="wrn.岩戸橋." localSheetId="13" hidden="1">{#N/A,#N/A,FALSE,"材料計算もくじ";#N/A,#N/A,FALSE,"数量総括表";#N/A,#N/A,FALSE,"主桁ｺﾝ及び型枠";#N/A,#N/A,FALSE,"横桁開口部";#N/A,#N/A,FALSE,"下床版開口部";#N/A,#N/A,FALSE,"ﾚｱｰｺﾝｸﾘｰﾄ型枠工";#N/A,#N/A,FALSE,"床版打下部";#N/A,#N/A,FALSE,"主桁桁打下部";#N/A,#N/A,FALSE,"伸縮控除";#N/A,#N/A,FALSE,"主桁ｺﾝ型枠集計表";#N/A,#N/A,FALSE,"縦締め鋼材";#N/A,#N/A,FALSE,"床版横締め鋼材";#N/A,#N/A,FALSE,"鉄筋重量集計";#N/A,#N/A,FALSE,"地覆工";#N/A,#N/A,FALSE,"橋面舗装工";#N/A,#N/A,FALSE,"排水装置工";#N/A,#N/A,FALSE,"伸縮継手工";#N/A,#N/A,FALSE,"落橋防止工";#N/A,#N/A,FALSE,"検査路工"}</definedName>
    <definedName name="wrn.岩戸橋." localSheetId="6" hidden="1">{#N/A,#N/A,FALSE,"材料計算もくじ";#N/A,#N/A,FALSE,"数量総括表";#N/A,#N/A,FALSE,"主桁ｺﾝ及び型枠";#N/A,#N/A,FALSE,"横桁開口部";#N/A,#N/A,FALSE,"下床版開口部";#N/A,#N/A,FALSE,"ﾚｱｰｺﾝｸﾘｰﾄ型枠工";#N/A,#N/A,FALSE,"床版打下部";#N/A,#N/A,FALSE,"主桁桁打下部";#N/A,#N/A,FALSE,"伸縮控除";#N/A,#N/A,FALSE,"主桁ｺﾝ型枠集計表";#N/A,#N/A,FALSE,"縦締め鋼材";#N/A,#N/A,FALSE,"床版横締め鋼材";#N/A,#N/A,FALSE,"鉄筋重量集計";#N/A,#N/A,FALSE,"地覆工";#N/A,#N/A,FALSE,"橋面舗装工";#N/A,#N/A,FALSE,"排水装置工";#N/A,#N/A,FALSE,"伸縮継手工";#N/A,#N/A,FALSE,"落橋防止工";#N/A,#N/A,FALSE,"検査路工"}</definedName>
    <definedName name="wrn.岩戸橋." localSheetId="7" hidden="1">{#N/A,#N/A,FALSE,"材料計算もくじ";#N/A,#N/A,FALSE,"数量総括表";#N/A,#N/A,FALSE,"主桁ｺﾝ及び型枠";#N/A,#N/A,FALSE,"横桁開口部";#N/A,#N/A,FALSE,"下床版開口部";#N/A,#N/A,FALSE,"ﾚｱｰｺﾝｸﾘｰﾄ型枠工";#N/A,#N/A,FALSE,"床版打下部";#N/A,#N/A,FALSE,"主桁桁打下部";#N/A,#N/A,FALSE,"伸縮控除";#N/A,#N/A,FALSE,"主桁ｺﾝ型枠集計表";#N/A,#N/A,FALSE,"縦締め鋼材";#N/A,#N/A,FALSE,"床版横締め鋼材";#N/A,#N/A,FALSE,"鉄筋重量集計";#N/A,#N/A,FALSE,"地覆工";#N/A,#N/A,FALSE,"橋面舗装工";#N/A,#N/A,FALSE,"排水装置工";#N/A,#N/A,FALSE,"伸縮継手工";#N/A,#N/A,FALSE,"落橋防止工";#N/A,#N/A,FALSE,"検査路工"}</definedName>
    <definedName name="wrn.岩戸橋." localSheetId="10" hidden="1">{#N/A,#N/A,FALSE,"材料計算もくじ";#N/A,#N/A,FALSE,"数量総括表";#N/A,#N/A,FALSE,"主桁ｺﾝ及び型枠";#N/A,#N/A,FALSE,"横桁開口部";#N/A,#N/A,FALSE,"下床版開口部";#N/A,#N/A,FALSE,"ﾚｱｰｺﾝｸﾘｰﾄ型枠工";#N/A,#N/A,FALSE,"床版打下部";#N/A,#N/A,FALSE,"主桁桁打下部";#N/A,#N/A,FALSE,"伸縮控除";#N/A,#N/A,FALSE,"主桁ｺﾝ型枠集計表";#N/A,#N/A,FALSE,"縦締め鋼材";#N/A,#N/A,FALSE,"床版横締め鋼材";#N/A,#N/A,FALSE,"鉄筋重量集計";#N/A,#N/A,FALSE,"地覆工";#N/A,#N/A,FALSE,"橋面舗装工";#N/A,#N/A,FALSE,"排水装置工";#N/A,#N/A,FALSE,"伸縮継手工";#N/A,#N/A,FALSE,"落橋防止工";#N/A,#N/A,FALSE,"検査路工"}</definedName>
    <definedName name="wrn.岩戸橋." hidden="1">{#N/A,#N/A,FALSE,"材料計算もくじ";#N/A,#N/A,FALSE,"数量総括表";#N/A,#N/A,FALSE,"主桁ｺﾝ及び型枠";#N/A,#N/A,FALSE,"横桁開口部";#N/A,#N/A,FALSE,"下床版開口部";#N/A,#N/A,FALSE,"ﾚｱｰｺﾝｸﾘｰﾄ型枠工";#N/A,#N/A,FALSE,"床版打下部";#N/A,#N/A,FALSE,"主桁桁打下部";#N/A,#N/A,FALSE,"伸縮控除";#N/A,#N/A,FALSE,"主桁ｺﾝ型枠集計表";#N/A,#N/A,FALSE,"縦締め鋼材";#N/A,#N/A,FALSE,"床版横締め鋼材";#N/A,#N/A,FALSE,"鉄筋重量集計";#N/A,#N/A,FALSE,"地覆工";#N/A,#N/A,FALSE,"橋面舗装工";#N/A,#N/A,FALSE,"排水装置工";#N/A,#N/A,FALSE,"伸縮継手工";#N/A,#N/A,FALSE,"落橋防止工";#N/A,#N/A,FALSE,"検査路工"}</definedName>
    <definedName name="wrn.木の川高架橋印刷." localSheetId="12" hidden="1">{#N/A,#N/A,FALSE,"木之川高架橋数量総括表";#N/A,#N/A,FALSE,"木之川主桁ｺﾝｸﾘｰﾄ型枠総集計表";#N/A,#N/A,FALSE,"木の川高架橋主桁鉄筋重量関係";#N/A,#N/A,FALSE,"壁高欄ｺﾝｸﾘｰﾄ型枠面積の計算";#N/A,#N/A,FALSE,"木の川橋縦締め鋼材";#N/A,#N/A,FALSE,"木の川橋床版横締め鋼材"}</definedName>
    <definedName name="wrn.木の川高架橋印刷." localSheetId="13" hidden="1">{#N/A,#N/A,FALSE,"木之川高架橋数量総括表";#N/A,#N/A,FALSE,"木之川主桁ｺﾝｸﾘｰﾄ型枠総集計表";#N/A,#N/A,FALSE,"木の川高架橋主桁鉄筋重量関係";#N/A,#N/A,FALSE,"壁高欄ｺﾝｸﾘｰﾄ型枠面積の計算";#N/A,#N/A,FALSE,"木の川橋縦締め鋼材";#N/A,#N/A,FALSE,"木の川橋床版横締め鋼材"}</definedName>
    <definedName name="wrn.木の川高架橋印刷." localSheetId="6" hidden="1">{#N/A,#N/A,FALSE,"木之川高架橋数量総括表";#N/A,#N/A,FALSE,"木之川主桁ｺﾝｸﾘｰﾄ型枠総集計表";#N/A,#N/A,FALSE,"木の川高架橋主桁鉄筋重量関係";#N/A,#N/A,FALSE,"壁高欄ｺﾝｸﾘｰﾄ型枠面積の計算";#N/A,#N/A,FALSE,"木の川橋縦締め鋼材";#N/A,#N/A,FALSE,"木の川橋床版横締め鋼材"}</definedName>
    <definedName name="wrn.木の川高架橋印刷." localSheetId="7" hidden="1">{#N/A,#N/A,FALSE,"木之川高架橋数量総括表";#N/A,#N/A,FALSE,"木之川主桁ｺﾝｸﾘｰﾄ型枠総集計表";#N/A,#N/A,FALSE,"木の川高架橋主桁鉄筋重量関係";#N/A,#N/A,FALSE,"壁高欄ｺﾝｸﾘｰﾄ型枠面積の計算";#N/A,#N/A,FALSE,"木の川橋縦締め鋼材";#N/A,#N/A,FALSE,"木の川橋床版横締め鋼材"}</definedName>
    <definedName name="wrn.木の川高架橋印刷." localSheetId="10" hidden="1">{#N/A,#N/A,FALSE,"木之川高架橋数量総括表";#N/A,#N/A,FALSE,"木之川主桁ｺﾝｸﾘｰﾄ型枠総集計表";#N/A,#N/A,FALSE,"木の川高架橋主桁鉄筋重量関係";#N/A,#N/A,FALSE,"壁高欄ｺﾝｸﾘｰﾄ型枠面積の計算";#N/A,#N/A,FALSE,"木の川橋縦締め鋼材";#N/A,#N/A,FALSE,"木の川橋床版横締め鋼材"}</definedName>
    <definedName name="wrn.木の川高架橋印刷." hidden="1">{#N/A,#N/A,FALSE,"木之川高架橋数量総括表";#N/A,#N/A,FALSE,"木之川主桁ｺﾝｸﾘｰﾄ型枠総集計表";#N/A,#N/A,FALSE,"木の川高架橋主桁鉄筋重量関係";#N/A,#N/A,FALSE,"壁高欄ｺﾝｸﾘｰﾄ型枠面積の計算";#N/A,#N/A,FALSE,"木の川橋縦締め鋼材";#N/A,#N/A,FALSE,"木の川橋床版横締め鋼材"}</definedName>
    <definedName name="wrn.木之川高架橋詳細材料計算書." localSheetId="12" hidden="1">{#N/A,#N/A,FALSE,"張出し施工区間部主桁断面積及び型枠周長の計算";#N/A,#N/A,FALSE,"張出し施工区間部ｺﾝｸﾘｰﾄ型枠";#N/A,#N/A,FALSE,"柱頭部Ｐ１橋脚部";#N/A,#N/A,FALSE,"柱頭部Ｐ２橋脚部";#N/A,#N/A,FALSE,"柱頭部Ｐ３橋脚部";#N/A,#N/A,FALSE,"左側支保工施工部";#N/A,#N/A,FALSE,"右側支保工施工部";#N/A,#N/A,FALSE,"吊り支保工施工区間部ｺﾝｸﾘｰﾄ型枠";#N/A,#N/A,FALSE,"中間隔壁部";#N/A,#N/A,FALSE,"断面積及び型枠周長の計算";#N/A,#N/A,FALSE,"壁高欄ｺﾝｸﾘｰﾄ型枠面積の計算";#N/A,#N/A,FALSE,"木之川主桁ｺﾝｸﾘｰﾄ型枠総集計表";#N/A,#N/A,FALSE,"木之川橋ﾚｱｰｺﾝｸﾘｰﾄ型枠工";#N/A,#N/A,FALSE,"木之川橋伸縮切欠控除部"}</definedName>
    <definedName name="wrn.木之川高架橋詳細材料計算書." localSheetId="13" hidden="1">{#N/A,#N/A,FALSE,"張出し施工区間部主桁断面積及び型枠周長の計算";#N/A,#N/A,FALSE,"張出し施工区間部ｺﾝｸﾘｰﾄ型枠";#N/A,#N/A,FALSE,"柱頭部Ｐ１橋脚部";#N/A,#N/A,FALSE,"柱頭部Ｐ２橋脚部";#N/A,#N/A,FALSE,"柱頭部Ｐ３橋脚部";#N/A,#N/A,FALSE,"左側支保工施工部";#N/A,#N/A,FALSE,"右側支保工施工部";#N/A,#N/A,FALSE,"吊り支保工施工区間部ｺﾝｸﾘｰﾄ型枠";#N/A,#N/A,FALSE,"中間隔壁部";#N/A,#N/A,FALSE,"断面積及び型枠周長の計算";#N/A,#N/A,FALSE,"壁高欄ｺﾝｸﾘｰﾄ型枠面積の計算";#N/A,#N/A,FALSE,"木之川主桁ｺﾝｸﾘｰﾄ型枠総集計表";#N/A,#N/A,FALSE,"木之川橋ﾚｱｰｺﾝｸﾘｰﾄ型枠工";#N/A,#N/A,FALSE,"木之川橋伸縮切欠控除部"}</definedName>
    <definedName name="wrn.木之川高架橋詳細材料計算書." localSheetId="6" hidden="1">{#N/A,#N/A,FALSE,"張出し施工区間部主桁断面積及び型枠周長の計算";#N/A,#N/A,FALSE,"張出し施工区間部ｺﾝｸﾘｰﾄ型枠";#N/A,#N/A,FALSE,"柱頭部Ｐ１橋脚部";#N/A,#N/A,FALSE,"柱頭部Ｐ２橋脚部";#N/A,#N/A,FALSE,"柱頭部Ｐ３橋脚部";#N/A,#N/A,FALSE,"左側支保工施工部";#N/A,#N/A,FALSE,"右側支保工施工部";#N/A,#N/A,FALSE,"吊り支保工施工区間部ｺﾝｸﾘｰﾄ型枠";#N/A,#N/A,FALSE,"中間隔壁部";#N/A,#N/A,FALSE,"断面積及び型枠周長の計算";#N/A,#N/A,FALSE,"壁高欄ｺﾝｸﾘｰﾄ型枠面積の計算";#N/A,#N/A,FALSE,"木之川主桁ｺﾝｸﾘｰﾄ型枠総集計表";#N/A,#N/A,FALSE,"木之川橋ﾚｱｰｺﾝｸﾘｰﾄ型枠工";#N/A,#N/A,FALSE,"木之川橋伸縮切欠控除部"}</definedName>
    <definedName name="wrn.木之川高架橋詳細材料計算書." localSheetId="7" hidden="1">{#N/A,#N/A,FALSE,"張出し施工区間部主桁断面積及び型枠周長の計算";#N/A,#N/A,FALSE,"張出し施工区間部ｺﾝｸﾘｰﾄ型枠";#N/A,#N/A,FALSE,"柱頭部Ｐ１橋脚部";#N/A,#N/A,FALSE,"柱頭部Ｐ２橋脚部";#N/A,#N/A,FALSE,"柱頭部Ｐ３橋脚部";#N/A,#N/A,FALSE,"左側支保工施工部";#N/A,#N/A,FALSE,"右側支保工施工部";#N/A,#N/A,FALSE,"吊り支保工施工区間部ｺﾝｸﾘｰﾄ型枠";#N/A,#N/A,FALSE,"中間隔壁部";#N/A,#N/A,FALSE,"断面積及び型枠周長の計算";#N/A,#N/A,FALSE,"壁高欄ｺﾝｸﾘｰﾄ型枠面積の計算";#N/A,#N/A,FALSE,"木之川主桁ｺﾝｸﾘｰﾄ型枠総集計表";#N/A,#N/A,FALSE,"木之川橋ﾚｱｰｺﾝｸﾘｰﾄ型枠工";#N/A,#N/A,FALSE,"木之川橋伸縮切欠控除部"}</definedName>
    <definedName name="wrn.木之川高架橋詳細材料計算書." localSheetId="10" hidden="1">{#N/A,#N/A,FALSE,"張出し施工区間部主桁断面積及び型枠周長の計算";#N/A,#N/A,FALSE,"張出し施工区間部ｺﾝｸﾘｰﾄ型枠";#N/A,#N/A,FALSE,"柱頭部Ｐ１橋脚部";#N/A,#N/A,FALSE,"柱頭部Ｐ２橋脚部";#N/A,#N/A,FALSE,"柱頭部Ｐ３橋脚部";#N/A,#N/A,FALSE,"左側支保工施工部";#N/A,#N/A,FALSE,"右側支保工施工部";#N/A,#N/A,FALSE,"吊り支保工施工区間部ｺﾝｸﾘｰﾄ型枠";#N/A,#N/A,FALSE,"中間隔壁部";#N/A,#N/A,FALSE,"断面積及び型枠周長の計算";#N/A,#N/A,FALSE,"壁高欄ｺﾝｸﾘｰﾄ型枠面積の計算";#N/A,#N/A,FALSE,"木之川主桁ｺﾝｸﾘｰﾄ型枠総集計表";#N/A,#N/A,FALSE,"木之川橋ﾚｱｰｺﾝｸﾘｰﾄ型枠工";#N/A,#N/A,FALSE,"木之川橋伸縮切欠控除部"}</definedName>
    <definedName name="wrn.木之川高架橋詳細材料計算書." hidden="1">{#N/A,#N/A,FALSE,"張出し施工区間部主桁断面積及び型枠周長の計算";#N/A,#N/A,FALSE,"張出し施工区間部ｺﾝｸﾘｰﾄ型枠";#N/A,#N/A,FALSE,"柱頭部Ｐ１橋脚部";#N/A,#N/A,FALSE,"柱頭部Ｐ２橋脚部";#N/A,#N/A,FALSE,"柱頭部Ｐ３橋脚部";#N/A,#N/A,FALSE,"左側支保工施工部";#N/A,#N/A,FALSE,"右側支保工施工部";#N/A,#N/A,FALSE,"吊り支保工施工区間部ｺﾝｸﾘｰﾄ型枠";#N/A,#N/A,FALSE,"中間隔壁部";#N/A,#N/A,FALSE,"断面積及び型枠周長の計算";#N/A,#N/A,FALSE,"壁高欄ｺﾝｸﾘｰﾄ型枠面積の計算";#N/A,#N/A,FALSE,"木之川主桁ｺﾝｸﾘｰﾄ型枠総集計表";#N/A,#N/A,FALSE,"木之川橋ﾚｱｰｺﾝｸﾘｰﾄ型枠工";#N/A,#N/A,FALSE,"木之川橋伸縮切欠控除部"}</definedName>
    <definedName name="wrn.東津田高架橋P9P14." localSheetId="12" hidden="1">{#N/A,#N/A,FALSE,"東津田高架橋材料計算書もくじ";#N/A,#N/A,FALSE,"上部工総括";#N/A,#N/A,FALSE,"主版材料本体";#N/A,#N/A,FALSE,"ﾚｱｰｺﾝｸﾘｰﾄ型枠工";#N/A,#N/A,FALSE,"P14切欠き部";#N/A,#N/A,FALSE,"伸縮切欠控除及び主版打下ろし部";#N/A,#N/A,FALSE,"鉄筋重量集計表";#N/A,#N/A,FALSE,"壁高欄断面積及び型枠周長の計算";#N/A,#N/A,FALSE,"壁高欄ｺﾝｸﾘｰﾄ型枠面積の計算";#N/A,#N/A,FALSE,"支保工"}</definedName>
    <definedName name="wrn.東津田高架橋P9P14." localSheetId="13" hidden="1">{#N/A,#N/A,FALSE,"東津田高架橋材料計算書もくじ";#N/A,#N/A,FALSE,"上部工総括";#N/A,#N/A,FALSE,"主版材料本体";#N/A,#N/A,FALSE,"ﾚｱｰｺﾝｸﾘｰﾄ型枠工";#N/A,#N/A,FALSE,"P14切欠き部";#N/A,#N/A,FALSE,"伸縮切欠控除及び主版打下ろし部";#N/A,#N/A,FALSE,"鉄筋重量集計表";#N/A,#N/A,FALSE,"壁高欄断面積及び型枠周長の計算";#N/A,#N/A,FALSE,"壁高欄ｺﾝｸﾘｰﾄ型枠面積の計算";#N/A,#N/A,FALSE,"支保工"}</definedName>
    <definedName name="wrn.東津田高架橋P9P14." localSheetId="6" hidden="1">{#N/A,#N/A,FALSE,"東津田高架橋材料計算書もくじ";#N/A,#N/A,FALSE,"上部工総括";#N/A,#N/A,FALSE,"主版材料本体";#N/A,#N/A,FALSE,"ﾚｱｰｺﾝｸﾘｰﾄ型枠工";#N/A,#N/A,FALSE,"P14切欠き部";#N/A,#N/A,FALSE,"伸縮切欠控除及び主版打下ろし部";#N/A,#N/A,FALSE,"鉄筋重量集計表";#N/A,#N/A,FALSE,"壁高欄断面積及び型枠周長の計算";#N/A,#N/A,FALSE,"壁高欄ｺﾝｸﾘｰﾄ型枠面積の計算";#N/A,#N/A,FALSE,"支保工"}</definedName>
    <definedName name="wrn.東津田高架橋P9P14." localSheetId="7" hidden="1">{#N/A,#N/A,FALSE,"東津田高架橋材料計算書もくじ";#N/A,#N/A,FALSE,"上部工総括";#N/A,#N/A,FALSE,"主版材料本体";#N/A,#N/A,FALSE,"ﾚｱｰｺﾝｸﾘｰﾄ型枠工";#N/A,#N/A,FALSE,"P14切欠き部";#N/A,#N/A,FALSE,"伸縮切欠控除及び主版打下ろし部";#N/A,#N/A,FALSE,"鉄筋重量集計表";#N/A,#N/A,FALSE,"壁高欄断面積及び型枠周長の計算";#N/A,#N/A,FALSE,"壁高欄ｺﾝｸﾘｰﾄ型枠面積の計算";#N/A,#N/A,FALSE,"支保工"}</definedName>
    <definedName name="wrn.東津田高架橋P9P14." localSheetId="10" hidden="1">{#N/A,#N/A,FALSE,"東津田高架橋材料計算書もくじ";#N/A,#N/A,FALSE,"上部工総括";#N/A,#N/A,FALSE,"主版材料本体";#N/A,#N/A,FALSE,"ﾚｱｰｺﾝｸﾘｰﾄ型枠工";#N/A,#N/A,FALSE,"P14切欠き部";#N/A,#N/A,FALSE,"伸縮切欠控除及び主版打下ろし部";#N/A,#N/A,FALSE,"鉄筋重量集計表";#N/A,#N/A,FALSE,"壁高欄断面積及び型枠周長の計算";#N/A,#N/A,FALSE,"壁高欄ｺﾝｸﾘｰﾄ型枠面積の計算";#N/A,#N/A,FALSE,"支保工"}</definedName>
    <definedName name="wrn.東津田高架橋P9P14." hidden="1">{#N/A,#N/A,FALSE,"東津田高架橋材料計算書もくじ";#N/A,#N/A,FALSE,"上部工総括";#N/A,#N/A,FALSE,"主版材料本体";#N/A,#N/A,FALSE,"ﾚｱｰｺﾝｸﾘｰﾄ型枠工";#N/A,#N/A,FALSE,"P14切欠き部";#N/A,#N/A,FALSE,"伸縮切欠控除及び主版打下ろし部";#N/A,#N/A,FALSE,"鉄筋重量集計表";#N/A,#N/A,FALSE,"壁高欄断面積及び型枠周長の計算";#N/A,#N/A,FALSE,"壁高欄ｺﾝｸﾘｰﾄ型枠面積の計算";#N/A,#N/A,FALSE,"支保工"}</definedName>
    <definedName name="wrn.第二久世橋." localSheetId="12" hidden="1">{#N/A,#N/A,FALSE,"主桁断面積関係";#N/A,#N/A,FALSE,"桁長寸法表";#N/A,#N/A,FALSE,"主桁ｺﾝｸﾘｰﾄ体積の計算";#N/A,#N/A,FALSE,"主桁質量の計算";#N/A,#N/A,FALSE,"ﾌﾟﾚｷｬｽﾄ桁型枠面積の計算"}</definedName>
    <definedName name="wrn.第二久世橋." localSheetId="13" hidden="1">{#N/A,#N/A,FALSE,"主桁断面積関係";#N/A,#N/A,FALSE,"桁長寸法表";#N/A,#N/A,FALSE,"主桁ｺﾝｸﾘｰﾄ体積の計算";#N/A,#N/A,FALSE,"主桁質量の計算";#N/A,#N/A,FALSE,"ﾌﾟﾚｷｬｽﾄ桁型枠面積の計算"}</definedName>
    <definedName name="wrn.第二久世橋." localSheetId="6" hidden="1">{#N/A,#N/A,FALSE,"主桁断面積関係";#N/A,#N/A,FALSE,"桁長寸法表";#N/A,#N/A,FALSE,"主桁ｺﾝｸﾘｰﾄ体積の計算";#N/A,#N/A,FALSE,"主桁質量の計算";#N/A,#N/A,FALSE,"ﾌﾟﾚｷｬｽﾄ桁型枠面積の計算"}</definedName>
    <definedName name="wrn.第二久世橋." localSheetId="7" hidden="1">{#N/A,#N/A,FALSE,"主桁断面積関係";#N/A,#N/A,FALSE,"桁長寸法表";#N/A,#N/A,FALSE,"主桁ｺﾝｸﾘｰﾄ体積の計算";#N/A,#N/A,FALSE,"主桁質量の計算";#N/A,#N/A,FALSE,"ﾌﾟﾚｷｬｽﾄ桁型枠面積の計算"}</definedName>
    <definedName name="wrn.第二久世橋." localSheetId="10" hidden="1">{#N/A,#N/A,FALSE,"主桁断面積関係";#N/A,#N/A,FALSE,"桁長寸法表";#N/A,#N/A,FALSE,"主桁ｺﾝｸﾘｰﾄ体積の計算";#N/A,#N/A,FALSE,"主桁質量の計算";#N/A,#N/A,FALSE,"ﾌﾟﾚｷｬｽﾄ桁型枠面積の計算"}</definedName>
    <definedName name="wrn.第二久世橋." hidden="1">{#N/A,#N/A,FALSE,"主桁断面積関係";#N/A,#N/A,FALSE,"桁長寸法表";#N/A,#N/A,FALSE,"主桁ｺﾝｸﾘｰﾄ体積の計算";#N/A,#N/A,FALSE,"主桁質量の計算";#N/A,#N/A,FALSE,"ﾌﾟﾚｷｬｽﾄ桁型枠面積の計算"}</definedName>
    <definedName name="Z">#REF!</definedName>
    <definedName name="ZZ">#REF!</definedName>
    <definedName name="スベリ式01" localSheetId="1">#REF!</definedName>
    <definedName name="スベリ式01" localSheetId="12">#REF!</definedName>
    <definedName name="スベリ式01" localSheetId="13">#REF!</definedName>
    <definedName name="スベリ式01" localSheetId="6">#REF!</definedName>
    <definedName name="スベリ式01" localSheetId="7">#REF!</definedName>
    <definedName name="スベリ式01" localSheetId="10">#REF!</definedName>
    <definedName name="スベリ式01">#REF!</definedName>
    <definedName name="スベリ式02" localSheetId="1">#REF!</definedName>
    <definedName name="スベリ式02" localSheetId="12">#REF!</definedName>
    <definedName name="スベリ式02" localSheetId="13">#REF!</definedName>
    <definedName name="スベリ式02" localSheetId="6">#REF!</definedName>
    <definedName name="スベリ式02" localSheetId="7">#REF!</definedName>
    <definedName name="スベリ式02" localSheetId="10">#REF!</definedName>
    <definedName name="スベリ式02">#REF!</definedName>
    <definedName name="せん断バネ" localSheetId="1">#REF!</definedName>
    <definedName name="せん断バネ" localSheetId="12">#REF!</definedName>
    <definedName name="せん断バネ" localSheetId="13">#REF!</definedName>
    <definedName name="せん断バネ" localSheetId="6">#REF!</definedName>
    <definedName name="せん断バネ" localSheetId="7">#REF!</definedName>
    <definedName name="せん断バネ" localSheetId="10">#REF!</definedName>
    <definedName name="せん断バネ">#REF!</definedName>
    <definedName name="せん断バネ式" localSheetId="1">#REF!</definedName>
    <definedName name="せん断バネ式">#REF!</definedName>
    <definedName name="ก">#N/A</definedName>
    <definedName name="กทม_กันยา_55">'[18]กทม กันยา 55'!$A$1:$G$2958</definedName>
    <definedName name="ข">#N/A</definedName>
    <definedName name="มาโคร72" localSheetId="12">'11) Fire Alarm'!มาโคร72</definedName>
    <definedName name="มาโคร72" localSheetId="13">'12)GYM'!มาโคร72</definedName>
    <definedName name="มาโคร72" localSheetId="6">'5) Main water supply and sewage'!มาโคร72</definedName>
    <definedName name="มาโคร72" localSheetId="7">'6)Road, Landscape and Drainage'!มาโคร72</definedName>
    <definedName name="มาโคร72" localSheetId="10">'9)Football Field New Accom'!มาโคร72</definedName>
    <definedName name="มาโคร72">[0]!มาโคร72</definedName>
    <definedName name="上向反力" localSheetId="1">#REF!</definedName>
    <definedName name="上向反力" localSheetId="12">#REF!</definedName>
    <definedName name="上向反力" localSheetId="13">#REF!</definedName>
    <definedName name="上向反力" localSheetId="6">#REF!</definedName>
    <definedName name="上向反力" localSheetId="7">#REF!</definedName>
    <definedName name="上向反力" localSheetId="10">#REF!</definedName>
    <definedName name="上向反力">#REF!</definedName>
    <definedName name="上向反力01" localSheetId="1">#REF!</definedName>
    <definedName name="上向反力01" localSheetId="12">#REF!</definedName>
    <definedName name="上向反力01" localSheetId="13">#REF!</definedName>
    <definedName name="上向反力01" localSheetId="6">#REF!</definedName>
    <definedName name="上向反力01" localSheetId="7">#REF!</definedName>
    <definedName name="上向反力01" localSheetId="10">#REF!</definedName>
    <definedName name="上向反力01">#REF!</definedName>
    <definedName name="下向反力" localSheetId="1">#REF!</definedName>
    <definedName name="下向反力" localSheetId="12">#REF!</definedName>
    <definedName name="下向反力" localSheetId="13">#REF!</definedName>
    <definedName name="下向反力" localSheetId="6">#REF!</definedName>
    <definedName name="下向反力" localSheetId="7">#REF!</definedName>
    <definedName name="下向反力" localSheetId="10">#REF!</definedName>
    <definedName name="下向反力">#REF!</definedName>
    <definedName name="下部バネ橋軸" localSheetId="1">#REF!</definedName>
    <definedName name="下部バネ橋軸">#REF!</definedName>
    <definedName name="下部バネ直角" localSheetId="1">#REF!</definedName>
    <definedName name="下部バネ直角">#REF!</definedName>
    <definedName name="不静定項目" localSheetId="1">#REF!</definedName>
    <definedName name="不静定項目">#REF!</definedName>
    <definedName name="不静定項目01" localSheetId="1">#REF!</definedName>
    <definedName name="不静定項目01">#REF!</definedName>
    <definedName name="不静定項目02" localSheetId="1">#REF!</definedName>
    <definedName name="不静定項目02">#REF!</definedName>
    <definedName name="分散時移動量01" localSheetId="1">#REF!</definedName>
    <definedName name="分散時移動量01">#REF!</definedName>
    <definedName name="分散時移動量02" localSheetId="1">#REF!</definedName>
    <definedName name="分散時移動量02">#REF!</definedName>
    <definedName name="印10" localSheetId="1">[1]スケルトン!#REF!</definedName>
    <definedName name="印10">[1]スケルトン!#REF!</definedName>
    <definedName name="印11" localSheetId="1">[1]スケルトン!#REF!</definedName>
    <definedName name="印11">[1]スケルトン!#REF!</definedName>
    <definedName name="印12" localSheetId="1">[1]スケルトン!#REF!</definedName>
    <definedName name="印12">[1]スケルトン!#REF!</definedName>
    <definedName name="印13" localSheetId="1">[1]スケルトン!#REF!</definedName>
    <definedName name="印13">[1]スケルトン!#REF!</definedName>
    <definedName name="印14" localSheetId="1">[1]スケルトン!#REF!</definedName>
    <definedName name="印14">[1]スケルトン!#REF!</definedName>
    <definedName name="印15" localSheetId="1">[1]スケルトン!#REF!</definedName>
    <definedName name="印15">[1]スケルトン!#REF!</definedName>
    <definedName name="印16" localSheetId="1">[1]スケルトン!#REF!</definedName>
    <definedName name="印16">[1]スケルトン!#REF!</definedName>
    <definedName name="印17" localSheetId="1">[1]スケルトン!#REF!</definedName>
    <definedName name="印17">[1]スケルトン!#REF!</definedName>
    <definedName name="印18" localSheetId="1">[1]スケルトン!#REF!</definedName>
    <definedName name="印18">[1]スケルトン!#REF!</definedName>
    <definedName name="印19" localSheetId="1">[1]スケルトン!#REF!</definedName>
    <definedName name="印19">[1]スケルトン!#REF!</definedName>
    <definedName name="印20" localSheetId="1">[1]スケルトン!#REF!</definedName>
    <definedName name="印20">[1]スケルトン!#REF!</definedName>
    <definedName name="印21" localSheetId="1">[1]スケルトン!#REF!</definedName>
    <definedName name="印21">[1]スケルトン!#REF!</definedName>
    <definedName name="印22" localSheetId="1">[1]スケルトン!#REF!</definedName>
    <definedName name="印22">[1]スケルトン!#REF!</definedName>
    <definedName name="印23" localSheetId="1">[1]スケルトン!#REF!</definedName>
    <definedName name="印23">[1]スケルトン!#REF!</definedName>
    <definedName name="印24" localSheetId="1">[1]スケルトン!#REF!</definedName>
    <definedName name="印24">[1]スケルトン!#REF!</definedName>
    <definedName name="印25" localSheetId="1">[1]スケルトン!#REF!</definedName>
    <definedName name="印25">[1]スケルトン!#REF!</definedName>
    <definedName name="印26" localSheetId="1">[1]スケルトン!#REF!</definedName>
    <definedName name="印26">[1]スケルトン!#REF!</definedName>
    <definedName name="印27" localSheetId="1">[1]スケルトン!#REF!</definedName>
    <definedName name="印27">[1]スケルトン!#REF!</definedName>
    <definedName name="印28" localSheetId="1">[1]スケルトン!#REF!</definedName>
    <definedName name="印28">[1]スケルトン!#REF!</definedName>
    <definedName name="印29" localSheetId="1">[1]スケルトン!#REF!</definedName>
    <definedName name="印29">[1]スケルトン!#REF!</definedName>
    <definedName name="印30" localSheetId="1">[1]スケルトン!#REF!</definedName>
    <definedName name="印30">[1]スケルトン!#REF!</definedName>
    <definedName name="印31" localSheetId="1">[1]スケルトン!#REF!</definedName>
    <definedName name="印31">[1]スケルトン!#REF!</definedName>
    <definedName name="印32" localSheetId="1">[1]スケルトン!#REF!</definedName>
    <definedName name="印32">[1]スケルトン!#REF!</definedName>
    <definedName name="印33" localSheetId="1">[1]スケルトン!#REF!</definedName>
    <definedName name="印33">[1]スケルトン!#REF!</definedName>
    <definedName name="印34" localSheetId="1">[1]スケルトン!#REF!</definedName>
    <definedName name="印34">[1]スケルトン!#REF!</definedName>
    <definedName name="印35" localSheetId="1">[1]スケルトン!#REF!</definedName>
    <definedName name="印35">[1]スケルトン!#REF!</definedName>
    <definedName name="印36" localSheetId="1">[1]スケルトン!#REF!</definedName>
    <definedName name="印36">[1]スケルトン!#REF!</definedName>
    <definedName name="印37" localSheetId="1">[1]スケルトン!#REF!</definedName>
    <definedName name="印37">[1]スケルトン!#REF!</definedName>
    <definedName name="印38" localSheetId="1">[1]スケルトン!#REF!</definedName>
    <definedName name="印38">[1]スケルトン!#REF!</definedName>
    <definedName name="印39" localSheetId="1">[1]スケルトン!#REF!</definedName>
    <definedName name="印39">[1]スケルトン!#REF!</definedName>
    <definedName name="印40" localSheetId="1">[1]スケルトン!#REF!</definedName>
    <definedName name="印40">[1]スケルトン!#REF!</definedName>
    <definedName name="印41" localSheetId="1">[1]スケルトン!#REF!</definedName>
    <definedName name="印41">[1]スケルトン!#REF!</definedName>
    <definedName name="印42" localSheetId="1">[1]スケルトン!#REF!</definedName>
    <definedName name="印42">[1]スケルトン!#REF!</definedName>
    <definedName name="印43" localSheetId="1">[1]スケルトン!#REF!</definedName>
    <definedName name="印43">[1]スケルトン!#REF!</definedName>
    <definedName name="印44" localSheetId="1">[1]スケルトン!#REF!</definedName>
    <definedName name="印44">[1]スケルトン!#REF!</definedName>
    <definedName name="印45" localSheetId="1">[1]スケルトン!#REF!</definedName>
    <definedName name="印45">[1]スケルトン!#REF!</definedName>
    <definedName name="印46" localSheetId="1">[1]スケルトン!#REF!</definedName>
    <definedName name="印46">[1]スケルトン!#REF!</definedName>
    <definedName name="印47" localSheetId="1">[1]スケルトン!#REF!</definedName>
    <definedName name="印47">[1]スケルトン!#REF!</definedName>
    <definedName name="印48" localSheetId="1">[1]スケルトン!#REF!</definedName>
    <definedName name="印48">[1]スケルトン!#REF!</definedName>
    <definedName name="印49" localSheetId="1">[1]スケルトン!#REF!</definedName>
    <definedName name="印49">[1]スケルトン!#REF!</definedName>
    <definedName name="印50" localSheetId="1">[1]スケルトン!#REF!</definedName>
    <definedName name="印50">[1]スケルトン!#REF!</definedName>
    <definedName name="圧縮時変形量" localSheetId="1">#REF!</definedName>
    <definedName name="圧縮時変形量" localSheetId="12">#REF!</definedName>
    <definedName name="圧縮時変形量" localSheetId="13">#REF!</definedName>
    <definedName name="圧縮時変形量" localSheetId="6">#REF!</definedName>
    <definedName name="圧縮時変形量" localSheetId="7">#REF!</definedName>
    <definedName name="圧縮時変形量" localSheetId="10">#REF!</definedName>
    <definedName name="圧縮時変形量">#REF!</definedName>
    <definedName name="圧縮時変形量01" localSheetId="1">#REF!</definedName>
    <definedName name="圧縮時変形量01" localSheetId="12">#REF!</definedName>
    <definedName name="圧縮時変形量01" localSheetId="13">#REF!</definedName>
    <definedName name="圧縮時変形量01" localSheetId="6">#REF!</definedName>
    <definedName name="圧縮時変形量01" localSheetId="7">#REF!</definedName>
    <definedName name="圧縮時変形量01" localSheetId="10">#REF!</definedName>
    <definedName name="圧縮時変形量01">#REF!</definedName>
    <definedName name="地震時変形量" localSheetId="1">#REF!</definedName>
    <definedName name="地震時変形量" localSheetId="12">#REF!</definedName>
    <definedName name="地震時変形量" localSheetId="13">#REF!</definedName>
    <definedName name="地震時変形量" localSheetId="6">#REF!</definedName>
    <definedName name="地震時変形量" localSheetId="7">#REF!</definedName>
    <definedName name="地震時変形量" localSheetId="10">#REF!</definedName>
    <definedName name="地震時変形量">#REF!</definedName>
    <definedName name="地震時移動量" localSheetId="1">#REF!</definedName>
    <definedName name="地震時移動量">#REF!</definedName>
    <definedName name="定着突起及びリブ集計表" localSheetId="1">#REF!</definedName>
    <definedName name="定着突起及びリブ集計表">#REF!</definedName>
    <definedName name="工程表" localSheetId="12" hidden="1">{"'Sheet1'!$L$16"}</definedName>
    <definedName name="工程表" localSheetId="13" hidden="1">{"'Sheet1'!$L$16"}</definedName>
    <definedName name="工程表" localSheetId="6" hidden="1">{"'Sheet1'!$L$16"}</definedName>
    <definedName name="工程表" localSheetId="7" hidden="1">{"'Sheet1'!$L$16"}</definedName>
    <definedName name="工程表" localSheetId="10" hidden="1">{"'Sheet1'!$L$16"}</definedName>
    <definedName name="工程表" hidden="1">{"'Sheet1'!$L$16"}</definedName>
    <definedName name="式_HIPS" localSheetId="1">#REF!</definedName>
    <definedName name="式_HIPS">#REF!</definedName>
    <definedName name="式_積層" localSheetId="1">#REF!</definedName>
    <definedName name="式_積層">#REF!</definedName>
    <definedName name="式01" localSheetId="1">#REF!</definedName>
    <definedName name="式01">#REF!</definedName>
    <definedName name="形状01" localSheetId="1">#REF!</definedName>
    <definedName name="形状01">#REF!</definedName>
    <definedName name="形状02" localSheetId="1">#REF!</definedName>
    <definedName name="形状02">#REF!</definedName>
    <definedName name="後死荷重_式01" localSheetId="1">#REF!</definedName>
    <definedName name="後死荷重_式01">#REF!</definedName>
    <definedName name="後死荷重_式02" localSheetId="1">#REF!</definedName>
    <definedName name="後死荷重_式02">#REF!</definedName>
    <definedName name="後死荷重01" localSheetId="1">#REF!</definedName>
    <definedName name="後死荷重01">#REF!</definedName>
    <definedName name="後死荷重02" localSheetId="1">#REF!</definedName>
    <definedName name="後死荷重02">#REF!</definedName>
    <definedName name="後死荷重項目名" localSheetId="1">#REF!</definedName>
    <definedName name="後死荷重項目名">#REF!</definedName>
    <definedName name="挿絵" localSheetId="1">#REF!</definedName>
    <definedName name="挿絵">#REF!</definedName>
    <definedName name="挿絵_HIPS" localSheetId="1">#REF!</definedName>
    <definedName name="挿絵_HIPS">#REF!</definedName>
    <definedName name="摩擦係数" localSheetId="1">#REF!</definedName>
    <definedName name="摩擦係数">#REF!</definedName>
    <definedName name="摩擦係数01" localSheetId="1">#REF!</definedName>
    <definedName name="摩擦係数01">#REF!</definedName>
    <definedName name="支承10" localSheetId="1">[1]スケルトン!#REF!</definedName>
    <definedName name="支承10">[1]スケルトン!#REF!</definedName>
    <definedName name="支承11" localSheetId="1">[1]スケルトン!#REF!</definedName>
    <definedName name="支承11">[1]スケルトン!#REF!</definedName>
    <definedName name="支承12" localSheetId="1">[1]スケルトン!#REF!</definedName>
    <definedName name="支承12">[1]スケルトン!#REF!</definedName>
    <definedName name="支承13" localSheetId="1">[1]スケルトン!#REF!</definedName>
    <definedName name="支承13">[1]スケルトン!#REF!</definedName>
    <definedName name="支承14" localSheetId="1">[1]スケルトン!#REF!</definedName>
    <definedName name="支承14">[1]スケルトン!#REF!</definedName>
    <definedName name="支承15" localSheetId="1">[1]スケルトン!#REF!</definedName>
    <definedName name="支承15">[1]スケルトン!#REF!</definedName>
    <definedName name="支承16" localSheetId="1">[1]スケルトン!#REF!</definedName>
    <definedName name="支承16">[1]スケルトン!#REF!</definedName>
    <definedName name="支承17" localSheetId="1">[1]スケルトン!#REF!</definedName>
    <definedName name="支承17">[1]スケルトン!#REF!</definedName>
    <definedName name="支承18" localSheetId="1">[1]スケルトン!#REF!</definedName>
    <definedName name="支承18">[1]スケルトン!#REF!</definedName>
    <definedName name="支承19" localSheetId="1">[1]スケルトン!#REF!</definedName>
    <definedName name="支承19">[1]スケルトン!#REF!</definedName>
    <definedName name="支承20" localSheetId="1">[1]スケルトン!#REF!</definedName>
    <definedName name="支承20">[1]スケルトン!#REF!</definedName>
    <definedName name="支承21" localSheetId="1">[1]スケルトン!#REF!</definedName>
    <definedName name="支承21">[1]スケルトン!#REF!</definedName>
    <definedName name="支承22" localSheetId="1">[1]スケルトン!#REF!</definedName>
    <definedName name="支承22">[1]スケルトン!#REF!</definedName>
    <definedName name="支承23" localSheetId="1">[1]スケルトン!#REF!</definedName>
    <definedName name="支承23">[1]スケルトン!#REF!</definedName>
    <definedName name="支承24" localSheetId="1">[1]スケルトン!#REF!</definedName>
    <definedName name="支承24">[1]スケルトン!#REF!</definedName>
    <definedName name="支承25" localSheetId="1">[1]スケルトン!#REF!</definedName>
    <definedName name="支承25">[1]スケルトン!#REF!</definedName>
    <definedName name="支承26" localSheetId="1">[1]スケルトン!#REF!</definedName>
    <definedName name="支承26">[1]スケルトン!#REF!</definedName>
    <definedName name="支承27" localSheetId="1">[1]スケルトン!#REF!</definedName>
    <definedName name="支承27">[1]スケルトン!#REF!</definedName>
    <definedName name="支承28" localSheetId="1">[1]スケルトン!#REF!</definedName>
    <definedName name="支承28">[1]スケルトン!#REF!</definedName>
    <definedName name="支承29" localSheetId="1">[1]スケルトン!#REF!</definedName>
    <definedName name="支承29">[1]スケルトン!#REF!</definedName>
    <definedName name="支承30" localSheetId="1">[1]スケルトン!#REF!</definedName>
    <definedName name="支承30">[1]スケルトン!#REF!</definedName>
    <definedName name="支承31" localSheetId="1">[1]スケルトン!#REF!</definedName>
    <definedName name="支承31">[1]スケルトン!#REF!</definedName>
    <definedName name="支承32" localSheetId="1">[1]スケルトン!#REF!</definedName>
    <definedName name="支承32">[1]スケルトン!#REF!</definedName>
    <definedName name="支承33" localSheetId="1">[1]スケルトン!#REF!</definedName>
    <definedName name="支承33">[1]スケルトン!#REF!</definedName>
    <definedName name="支承34" localSheetId="1">[1]スケルトン!#REF!</definedName>
    <definedName name="支承34">[1]スケルトン!#REF!</definedName>
    <definedName name="支承35" localSheetId="1">[1]スケルトン!#REF!</definedName>
    <definedName name="支承35">[1]スケルトン!#REF!</definedName>
    <definedName name="支承36" localSheetId="1">[1]スケルトン!#REF!</definedName>
    <definedName name="支承36">[1]スケルトン!#REF!</definedName>
    <definedName name="支承37" localSheetId="1">[1]スケルトン!#REF!</definedName>
    <definedName name="支承37">[1]スケルトン!#REF!</definedName>
    <definedName name="支承38" localSheetId="1">[1]スケルトン!#REF!</definedName>
    <definedName name="支承38">[1]スケルトン!#REF!</definedName>
    <definedName name="支承39" localSheetId="1">[1]スケルトン!#REF!</definedName>
    <definedName name="支承39">[1]スケルトン!#REF!</definedName>
    <definedName name="支承40" localSheetId="1">[1]スケルトン!#REF!</definedName>
    <definedName name="支承40">[1]スケルトン!#REF!</definedName>
    <definedName name="支承41" localSheetId="1">[1]スケルトン!#REF!</definedName>
    <definedName name="支承41">[1]スケルトン!#REF!</definedName>
    <definedName name="支承42" localSheetId="1">[1]スケルトン!#REF!</definedName>
    <definedName name="支承42">[1]スケルトン!#REF!</definedName>
    <definedName name="支承43" localSheetId="1">[1]スケルトン!#REF!</definedName>
    <definedName name="支承43">[1]スケルトン!#REF!</definedName>
    <definedName name="支承44" localSheetId="1">[1]スケルトン!#REF!</definedName>
    <definedName name="支承44">[1]スケルトン!#REF!</definedName>
    <definedName name="支承45" localSheetId="1">[1]スケルトン!#REF!</definedName>
    <definedName name="支承45">[1]スケルトン!#REF!</definedName>
    <definedName name="支承46" localSheetId="1">[1]スケルトン!#REF!</definedName>
    <definedName name="支承46">[1]スケルトン!#REF!</definedName>
    <definedName name="支承47" localSheetId="1">[1]スケルトン!#REF!</definedName>
    <definedName name="支承47">[1]スケルトン!#REF!</definedName>
    <definedName name="支承48" localSheetId="1">[1]スケルトン!#REF!</definedName>
    <definedName name="支承48">[1]スケルトン!#REF!</definedName>
    <definedName name="支承49" localSheetId="1">[1]スケルトン!#REF!</definedName>
    <definedName name="支承49">[1]スケルトン!#REF!</definedName>
    <definedName name="支承50" localSheetId="1">[1]スケルトン!#REF!</definedName>
    <definedName name="支承50">[1]スケルトン!#REF!</definedName>
    <definedName name="支承反力" localSheetId="1">#REF!</definedName>
    <definedName name="支承反力" localSheetId="12">#REF!</definedName>
    <definedName name="支承反力" localSheetId="13">#REF!</definedName>
    <definedName name="支承反力" localSheetId="6">#REF!</definedName>
    <definedName name="支承反力" localSheetId="7">#REF!</definedName>
    <definedName name="支承反力" localSheetId="10">#REF!</definedName>
    <definedName name="支承反力">#REF!</definedName>
    <definedName name="支承反力03" localSheetId="1">#REF!</definedName>
    <definedName name="支承反力03" localSheetId="12">#REF!</definedName>
    <definedName name="支承反力03" localSheetId="13">#REF!</definedName>
    <definedName name="支承反力03" localSheetId="6">#REF!</definedName>
    <definedName name="支承反力03" localSheetId="7">#REF!</definedName>
    <definedName name="支承反力03" localSheetId="10">#REF!</definedName>
    <definedName name="支承反力03">#REF!</definedName>
    <definedName name="支承反力04" localSheetId="1">#REF!</definedName>
    <definedName name="支承反力04" localSheetId="12">#REF!</definedName>
    <definedName name="支承反力04" localSheetId="13">#REF!</definedName>
    <definedName name="支承反力04" localSheetId="6">#REF!</definedName>
    <definedName name="支承反力04" localSheetId="7">#REF!</definedName>
    <definedName name="支承反力04" localSheetId="10">#REF!</definedName>
    <definedName name="支承反力04">#REF!</definedName>
    <definedName name="支承反力05" localSheetId="1">#REF!</definedName>
    <definedName name="支承反力05">#REF!</definedName>
    <definedName name="支承反力06" localSheetId="1">#REF!</definedName>
    <definedName name="支承反力06">#REF!</definedName>
    <definedName name="支点条件_BF" localSheetId="1">#REF!</definedName>
    <definedName name="支点条件_BF">#REF!</definedName>
    <definedName name="支点条件_HIPS" localSheetId="1">#REF!</definedName>
    <definedName name="支点条件_HIPS">#REF!</definedName>
    <definedName name="支点条件_分散" localSheetId="1">#REF!</definedName>
    <definedName name="支点条件_分散">#REF!</definedName>
    <definedName name="支点条件_圧縮" localSheetId="1">#REF!</definedName>
    <definedName name="支点条件_圧縮">#REF!</definedName>
    <definedName name="支間10" localSheetId="1">[1]スケルトン!#REF!</definedName>
    <definedName name="支間10">[1]スケルトン!#REF!</definedName>
    <definedName name="支間11" localSheetId="1">[1]スケルトン!#REF!</definedName>
    <definedName name="支間11">[1]スケルトン!#REF!</definedName>
    <definedName name="支間12" localSheetId="1">[1]スケルトン!#REF!</definedName>
    <definedName name="支間12">[1]スケルトン!#REF!</definedName>
    <definedName name="支間13" localSheetId="1">[1]スケルトン!#REF!</definedName>
    <definedName name="支間13">[1]スケルトン!#REF!</definedName>
    <definedName name="支間14" localSheetId="1">[1]スケルトン!#REF!</definedName>
    <definedName name="支間14">[1]スケルトン!#REF!</definedName>
    <definedName name="支間15" localSheetId="1">[1]スケルトン!#REF!</definedName>
    <definedName name="支間15">[1]スケルトン!#REF!</definedName>
    <definedName name="支間16" localSheetId="1">[1]スケルトン!#REF!</definedName>
    <definedName name="支間16">[1]スケルトン!#REF!</definedName>
    <definedName name="支間17" localSheetId="1">[1]スケルトン!#REF!</definedName>
    <definedName name="支間17">[1]スケルトン!#REF!</definedName>
    <definedName name="支間18" localSheetId="1">[1]スケルトン!#REF!</definedName>
    <definedName name="支間18">[1]スケルトン!#REF!</definedName>
    <definedName name="支間19" localSheetId="1">[1]スケルトン!#REF!</definedName>
    <definedName name="支間19">[1]スケルトン!#REF!</definedName>
    <definedName name="支間20" localSheetId="1">[1]スケルトン!#REF!</definedName>
    <definedName name="支間20">[1]スケルトン!#REF!</definedName>
    <definedName name="支間21" localSheetId="1">[1]スケルトン!#REF!</definedName>
    <definedName name="支間21">[1]スケルトン!#REF!</definedName>
    <definedName name="支間22" localSheetId="1">[1]スケルトン!#REF!</definedName>
    <definedName name="支間22">[1]スケルトン!#REF!</definedName>
    <definedName name="支間23" localSheetId="1">[1]スケルトン!#REF!</definedName>
    <definedName name="支間23">[1]スケルトン!#REF!</definedName>
    <definedName name="支間24" localSheetId="1">[1]スケルトン!#REF!</definedName>
    <definedName name="支間24">[1]スケルトン!#REF!</definedName>
    <definedName name="支間25" localSheetId="1">[1]スケルトン!#REF!</definedName>
    <definedName name="支間25">[1]スケルトン!#REF!</definedName>
    <definedName name="支間26" localSheetId="1">[1]スケルトン!#REF!</definedName>
    <definedName name="支間26">[1]スケルトン!#REF!</definedName>
    <definedName name="支間27" localSheetId="1">[1]スケルトン!#REF!</definedName>
    <definedName name="支間27">[1]スケルトン!#REF!</definedName>
    <definedName name="支間28" localSheetId="1">[1]スケルトン!#REF!</definedName>
    <definedName name="支間28">[1]スケルトン!#REF!</definedName>
    <definedName name="支間29" localSheetId="1">[1]スケルトン!#REF!</definedName>
    <definedName name="支間29">[1]スケルトン!#REF!</definedName>
    <definedName name="支間30" localSheetId="1">[1]スケルトン!#REF!</definedName>
    <definedName name="支間30">[1]スケルトン!#REF!</definedName>
    <definedName name="支間31" localSheetId="1">[1]スケルトン!#REF!</definedName>
    <definedName name="支間31">[1]スケルトン!#REF!</definedName>
    <definedName name="支間32" localSheetId="1">[1]スケルトン!#REF!</definedName>
    <definedName name="支間32">[1]スケルトン!#REF!</definedName>
    <definedName name="支間33" localSheetId="1">[1]スケルトン!#REF!</definedName>
    <definedName name="支間33">[1]スケルトン!#REF!</definedName>
    <definedName name="支間34" localSheetId="1">[1]スケルトン!#REF!</definedName>
    <definedName name="支間34">[1]スケルトン!#REF!</definedName>
    <definedName name="支間35" localSheetId="1">[1]スケルトン!#REF!</definedName>
    <definedName name="支間35">[1]スケルトン!#REF!</definedName>
    <definedName name="支間36" localSheetId="1">[1]スケルトン!#REF!</definedName>
    <definedName name="支間36">[1]スケルトン!#REF!</definedName>
    <definedName name="支間37" localSheetId="1">[1]スケルトン!#REF!</definedName>
    <definedName name="支間37">[1]スケルトン!#REF!</definedName>
    <definedName name="支間38" localSheetId="1">[1]スケルトン!#REF!</definedName>
    <definedName name="支間38">[1]スケルトン!#REF!</definedName>
    <definedName name="支間39" localSheetId="1">[1]スケルトン!#REF!</definedName>
    <definedName name="支間39">[1]スケルトン!#REF!</definedName>
    <definedName name="支間40" localSheetId="1">[1]スケルトン!#REF!</definedName>
    <definedName name="支間40">[1]スケルトン!#REF!</definedName>
    <definedName name="支間41" localSheetId="1">[1]スケルトン!#REF!</definedName>
    <definedName name="支間41">[1]スケルトン!#REF!</definedName>
    <definedName name="支間42" localSheetId="1">[1]スケルトン!#REF!</definedName>
    <definedName name="支間42">[1]スケルトン!#REF!</definedName>
    <definedName name="支間43" localSheetId="1">[1]スケルトン!#REF!</definedName>
    <definedName name="支間43">[1]スケルトン!#REF!</definedName>
    <definedName name="支間44" localSheetId="1">[1]スケルトン!#REF!</definedName>
    <definedName name="支間44">[1]スケルトン!#REF!</definedName>
    <definedName name="支間45" localSheetId="1">[1]スケルトン!#REF!</definedName>
    <definedName name="支間45">[1]スケルトン!#REF!</definedName>
    <definedName name="支間46" localSheetId="1">[1]スケルトン!#REF!</definedName>
    <definedName name="支間46">[1]スケルトン!#REF!</definedName>
    <definedName name="支間47" localSheetId="1">[1]スケルトン!#REF!</definedName>
    <definedName name="支間47">[1]スケルトン!#REF!</definedName>
    <definedName name="支間48" localSheetId="1">[1]スケルトン!#REF!</definedName>
    <definedName name="支間48">[1]スケルトン!#REF!</definedName>
    <definedName name="支間49" localSheetId="1">[1]スケルトン!#REF!</definedName>
    <definedName name="支間49">[1]スケルトン!#REF!</definedName>
    <definedName name="支間9" localSheetId="1">[1]スケルトン!#REF!</definedName>
    <definedName name="支間9">[1]スケルトン!#REF!</definedName>
    <definedName name="最小許容" localSheetId="1">#REF!</definedName>
    <definedName name="最小許容" localSheetId="12">#REF!</definedName>
    <definedName name="最小許容" localSheetId="13">#REF!</definedName>
    <definedName name="最小許容" localSheetId="6">#REF!</definedName>
    <definedName name="最小許容" localSheetId="7">#REF!</definedName>
    <definedName name="最小許容" localSheetId="10">#REF!</definedName>
    <definedName name="最小許容">#REF!</definedName>
    <definedName name="枠01" localSheetId="1">#REF!</definedName>
    <definedName name="枠01" localSheetId="12">#REF!</definedName>
    <definedName name="枠01" localSheetId="13">#REF!</definedName>
    <definedName name="枠01" localSheetId="6">#REF!</definedName>
    <definedName name="枠01" localSheetId="7">#REF!</definedName>
    <definedName name="枠01" localSheetId="10">#REF!</definedName>
    <definedName name="枠01">#REF!</definedName>
    <definedName name="枠02" localSheetId="1">#REF!</definedName>
    <definedName name="枠02" localSheetId="12">#REF!</definedName>
    <definedName name="枠02" localSheetId="13">#REF!</definedName>
    <definedName name="枠02" localSheetId="6">#REF!</definedName>
    <definedName name="枠02" localSheetId="7">#REF!</definedName>
    <definedName name="枠02" localSheetId="10">#REF!</definedName>
    <definedName name="枠02">#REF!</definedName>
    <definedName name="枠02_1" localSheetId="1">#REF!</definedName>
    <definedName name="枠02_1">#REF!</definedName>
    <definedName name="枠02_2" localSheetId="1">#REF!</definedName>
    <definedName name="枠02_2">#REF!</definedName>
    <definedName name="枠02_3" localSheetId="1">#REF!</definedName>
    <definedName name="枠02_3">#REF!</definedName>
    <definedName name="枠02_4" localSheetId="1">#REF!</definedName>
    <definedName name="枠02_4">#REF!</definedName>
    <definedName name="枠03" localSheetId="1">#REF!</definedName>
    <definedName name="枠03">#REF!</definedName>
    <definedName name="枠04" localSheetId="1">#REF!</definedName>
    <definedName name="枠04">#REF!</definedName>
    <definedName name="枠05" localSheetId="1">#REF!</definedName>
    <definedName name="枠05">#REF!</definedName>
    <definedName name="枠06" localSheetId="1">#REF!</definedName>
    <definedName name="枠06">#REF!</definedName>
    <definedName name="枠07" localSheetId="1">#REF!</definedName>
    <definedName name="枠07">#REF!</definedName>
    <definedName name="桁10" localSheetId="1">[1]スケルトン!#REF!</definedName>
    <definedName name="桁10">[1]スケルトン!#REF!</definedName>
    <definedName name="桁11" localSheetId="1">[1]スケルトン!#REF!</definedName>
    <definedName name="桁11">[1]スケルトン!#REF!</definedName>
    <definedName name="桁12" localSheetId="1">[1]スケルトン!#REF!</definedName>
    <definedName name="桁12">[1]スケルトン!#REF!</definedName>
    <definedName name="桁13" localSheetId="1">[1]スケルトン!#REF!</definedName>
    <definedName name="桁13">[1]スケルトン!#REF!</definedName>
    <definedName name="桁14" localSheetId="1">[1]スケルトン!#REF!</definedName>
    <definedName name="桁14">[1]スケルトン!#REF!</definedName>
    <definedName name="桁15" localSheetId="1">[1]スケルトン!#REF!</definedName>
    <definedName name="桁15">[1]スケルトン!#REF!</definedName>
    <definedName name="桁16" localSheetId="1">[1]スケルトン!#REF!</definedName>
    <definedName name="桁16">[1]スケルトン!#REF!</definedName>
    <definedName name="桁17" localSheetId="1">[1]スケルトン!#REF!</definedName>
    <definedName name="桁17">[1]スケルトン!#REF!</definedName>
    <definedName name="桁18" localSheetId="1">[1]スケルトン!#REF!</definedName>
    <definedName name="桁18">[1]スケルトン!#REF!</definedName>
    <definedName name="桁19" localSheetId="1">[1]スケルトン!#REF!</definedName>
    <definedName name="桁19">[1]スケルトン!#REF!</definedName>
    <definedName name="桁20" localSheetId="1">[1]スケルトン!#REF!</definedName>
    <definedName name="桁20">[1]スケルトン!#REF!</definedName>
    <definedName name="桁21" localSheetId="1">[1]スケルトン!#REF!</definedName>
    <definedName name="桁21">[1]スケルトン!#REF!</definedName>
    <definedName name="桁22" localSheetId="1">[1]スケルトン!#REF!</definedName>
    <definedName name="桁22">[1]スケルトン!#REF!</definedName>
    <definedName name="桁23" localSheetId="1">[1]スケルトン!#REF!</definedName>
    <definedName name="桁23">[1]スケルトン!#REF!</definedName>
    <definedName name="桁24" localSheetId="1">[1]スケルトン!#REF!</definedName>
    <definedName name="桁24">[1]スケルトン!#REF!</definedName>
    <definedName name="桁25" localSheetId="1">[1]スケルトン!#REF!</definedName>
    <definedName name="桁25">[1]スケルトン!#REF!</definedName>
    <definedName name="桁26" localSheetId="1">[1]スケルトン!#REF!</definedName>
    <definedName name="桁26">[1]スケルトン!#REF!</definedName>
    <definedName name="桁27" localSheetId="1">[1]スケルトン!#REF!</definedName>
    <definedName name="桁27">[1]スケルトン!#REF!</definedName>
    <definedName name="桁28" localSheetId="1">[1]スケルトン!#REF!</definedName>
    <definedName name="桁28">[1]スケルトン!#REF!</definedName>
    <definedName name="桁29" localSheetId="1">[1]スケルトン!#REF!</definedName>
    <definedName name="桁29">[1]スケルトン!#REF!</definedName>
    <definedName name="桁30" localSheetId="1">[1]スケルトン!#REF!</definedName>
    <definedName name="桁30">[1]スケルトン!#REF!</definedName>
    <definedName name="桁31" localSheetId="1">[1]スケルトン!#REF!</definedName>
    <definedName name="桁31">[1]スケルトン!#REF!</definedName>
    <definedName name="桁32" localSheetId="1">[1]スケルトン!#REF!</definedName>
    <definedName name="桁32">[1]スケルトン!#REF!</definedName>
    <definedName name="桁33" localSheetId="1">[1]スケルトン!#REF!</definedName>
    <definedName name="桁33">[1]スケルトン!#REF!</definedName>
    <definedName name="桁34" localSheetId="1">[1]スケルトン!#REF!</definedName>
    <definedName name="桁34">[1]スケルトン!#REF!</definedName>
    <definedName name="桁35" localSheetId="1">[1]スケルトン!#REF!</definedName>
    <definedName name="桁35">[1]スケルトン!#REF!</definedName>
    <definedName name="桁36" localSheetId="1">[1]スケルトン!#REF!</definedName>
    <definedName name="桁36">[1]スケルトン!#REF!</definedName>
    <definedName name="桁37" localSheetId="1">[1]スケルトン!#REF!</definedName>
    <definedName name="桁37">[1]スケルトン!#REF!</definedName>
    <definedName name="桁38" localSheetId="1">[1]スケルトン!#REF!</definedName>
    <definedName name="桁38">[1]スケルトン!#REF!</definedName>
    <definedName name="桁39" localSheetId="1">[1]スケルトン!#REF!</definedName>
    <definedName name="桁39">[1]スケルトン!#REF!</definedName>
    <definedName name="桁40" localSheetId="1">[1]スケルトン!#REF!</definedName>
    <definedName name="桁40">[1]スケルトン!#REF!</definedName>
    <definedName name="桁41" localSheetId="1">[1]スケルトン!#REF!</definedName>
    <definedName name="桁41">[1]スケルトン!#REF!</definedName>
    <definedName name="桁42" localSheetId="1">[1]スケルトン!#REF!</definedName>
    <definedName name="桁42">[1]スケルトン!#REF!</definedName>
    <definedName name="桁43" localSheetId="1">[1]スケルトン!#REF!</definedName>
    <definedName name="桁43">[1]スケルトン!#REF!</definedName>
    <definedName name="桁44" localSheetId="1">[1]スケルトン!#REF!</definedName>
    <definedName name="桁44">[1]スケルトン!#REF!</definedName>
    <definedName name="桁45" localSheetId="1">[1]スケルトン!#REF!</definedName>
    <definedName name="桁45">[1]スケルトン!#REF!</definedName>
    <definedName name="桁46" localSheetId="1">[1]スケルトン!#REF!</definedName>
    <definedName name="桁46">[1]スケルトン!#REF!</definedName>
    <definedName name="桁47" localSheetId="1">[1]スケルトン!#REF!</definedName>
    <definedName name="桁47">[1]スケルトン!#REF!</definedName>
    <definedName name="桁48" localSheetId="1">[1]スケルトン!#REF!</definedName>
    <definedName name="桁48">[1]スケルトン!#REF!</definedName>
    <definedName name="桁49" localSheetId="1">[1]スケルトン!#REF!</definedName>
    <definedName name="桁49">[1]スケルトン!#REF!</definedName>
    <definedName name="桁9" localSheetId="1">[1]スケルトン!#REF!</definedName>
    <definedName name="桁9">[1]スケルトン!#REF!</definedName>
    <definedName name="死荷重" localSheetId="1">#REF!</definedName>
    <definedName name="死荷重" localSheetId="12">#REF!</definedName>
    <definedName name="死荷重" localSheetId="13">#REF!</definedName>
    <definedName name="死荷重" localSheetId="6">#REF!</definedName>
    <definedName name="死荷重" localSheetId="7">#REF!</definedName>
    <definedName name="死荷重" localSheetId="10">#REF!</definedName>
    <definedName name="死荷重">#REF!</definedName>
    <definedName name="死荷重合計" localSheetId="1">#REF!</definedName>
    <definedName name="死荷重合計" localSheetId="12">#REF!</definedName>
    <definedName name="死荷重合計" localSheetId="13">#REF!</definedName>
    <definedName name="死荷重合計" localSheetId="6">#REF!</definedName>
    <definedName name="死荷重合計" localSheetId="7">#REF!</definedName>
    <definedName name="死荷重合計" localSheetId="10">#REF!</definedName>
    <definedName name="死荷重合計">#REF!</definedName>
    <definedName name="活荷重" localSheetId="1">#REF!</definedName>
    <definedName name="活荷重" localSheetId="12">#REF!</definedName>
    <definedName name="活荷重" localSheetId="13">#REF!</definedName>
    <definedName name="活荷重" localSheetId="6">#REF!</definedName>
    <definedName name="活荷重" localSheetId="7">#REF!</definedName>
    <definedName name="活荷重" localSheetId="10">#REF!</definedName>
    <definedName name="活荷重">#REF!</definedName>
    <definedName name="活荷重_式" localSheetId="1">#REF!</definedName>
    <definedName name="活荷重_式">#REF!</definedName>
    <definedName name="直基礎バネ" localSheetId="1">#REF!</definedName>
    <definedName name="直基礎バネ">#REF!</definedName>
    <definedName name="直震度1" localSheetId="1">[19]枠!#REF!</definedName>
    <definedName name="直震度1">[19]枠!#REF!</definedName>
    <definedName name="直震度2" localSheetId="1">[19]枠!#REF!</definedName>
    <definedName name="直震度2">[19]枠!#REF!</definedName>
    <definedName name="直震度3" localSheetId="1">[19]枠!#REF!</definedName>
    <definedName name="直震度3">[19]枠!#REF!</definedName>
    <definedName name="縦断" localSheetId="1">#REF!</definedName>
    <definedName name="縦断" localSheetId="12">#REF!</definedName>
    <definedName name="縦断" localSheetId="13">#REF!</definedName>
    <definedName name="縦断" localSheetId="6">#REF!</definedName>
    <definedName name="縦断" localSheetId="7">#REF!</definedName>
    <definedName name="縦断" localSheetId="10">#REF!</definedName>
    <definedName name="縦断">#REF!</definedName>
    <definedName name="縦断_式" localSheetId="1">#REF!</definedName>
    <definedName name="縦断_式" localSheetId="12">#REF!</definedName>
    <definedName name="縦断_式" localSheetId="13">#REF!</definedName>
    <definedName name="縦断_式" localSheetId="6">#REF!</definedName>
    <definedName name="縦断_式" localSheetId="7">#REF!</definedName>
    <definedName name="縦断_式" localSheetId="10">#REF!</definedName>
    <definedName name="縦断_式">#REF!</definedName>
    <definedName name="脚名10" localSheetId="1">[1]スケルトン!#REF!</definedName>
    <definedName name="脚名10" localSheetId="12">[1]スケルトン!#REF!</definedName>
    <definedName name="脚名10" localSheetId="13">[1]スケルトン!#REF!</definedName>
    <definedName name="脚名10" localSheetId="6">[1]スケルトン!#REF!</definedName>
    <definedName name="脚名10" localSheetId="7">[1]スケルトン!#REF!</definedName>
    <definedName name="脚名10" localSheetId="10">[1]スケルトン!#REF!</definedName>
    <definedName name="脚名10">[1]スケルトン!#REF!</definedName>
    <definedName name="脚名11" localSheetId="1">[1]スケルトン!#REF!</definedName>
    <definedName name="脚名11" localSheetId="12">[1]スケルトン!#REF!</definedName>
    <definedName name="脚名11" localSheetId="13">[1]スケルトン!#REF!</definedName>
    <definedName name="脚名11" localSheetId="6">[1]スケルトン!#REF!</definedName>
    <definedName name="脚名11" localSheetId="7">[1]スケルトン!#REF!</definedName>
    <definedName name="脚名11" localSheetId="10">[1]スケルトン!#REF!</definedName>
    <definedName name="脚名11">[1]スケルトン!#REF!</definedName>
    <definedName name="脚名12" localSheetId="1">[1]スケルトン!#REF!</definedName>
    <definedName name="脚名12">[1]スケルトン!#REF!</definedName>
    <definedName name="脚名13" localSheetId="1">[1]スケルトン!#REF!</definedName>
    <definedName name="脚名13">[1]スケルトン!#REF!</definedName>
    <definedName name="脚名14" localSheetId="1">[1]スケルトン!#REF!</definedName>
    <definedName name="脚名14">[1]スケルトン!#REF!</definedName>
    <definedName name="脚名15" localSheetId="1">[1]スケルトン!#REF!</definedName>
    <definedName name="脚名15">[1]スケルトン!#REF!</definedName>
    <definedName name="脚名16" localSheetId="1">[1]スケルトン!#REF!</definedName>
    <definedName name="脚名16">[1]スケルトン!#REF!</definedName>
    <definedName name="脚名17" localSheetId="1">[1]スケルトン!#REF!</definedName>
    <definedName name="脚名17">[1]スケルトン!#REF!</definedName>
    <definedName name="脚名18" localSheetId="1">[1]スケルトン!#REF!</definedName>
    <definedName name="脚名18">[1]スケルトン!#REF!</definedName>
    <definedName name="脚名19" localSheetId="1">[1]スケルトン!#REF!</definedName>
    <definedName name="脚名19">[1]スケルトン!#REF!</definedName>
    <definedName name="脚名20" localSheetId="1">[1]スケルトン!#REF!</definedName>
    <definedName name="脚名20">[1]スケルトン!#REF!</definedName>
    <definedName name="脚名21" localSheetId="1">[1]スケルトン!#REF!</definedName>
    <definedName name="脚名21">[1]スケルトン!#REF!</definedName>
    <definedName name="脚名22" localSheetId="1">[1]スケルトン!#REF!</definedName>
    <definedName name="脚名22">[1]スケルトン!#REF!</definedName>
    <definedName name="脚名23" localSheetId="1">[1]スケルトン!#REF!</definedName>
    <definedName name="脚名23">[1]スケルトン!#REF!</definedName>
    <definedName name="脚名24" localSheetId="1">[1]スケルトン!#REF!</definedName>
    <definedName name="脚名24">[1]スケルトン!#REF!</definedName>
    <definedName name="脚名25" localSheetId="1">[1]スケルトン!#REF!</definedName>
    <definedName name="脚名25">[1]スケルトン!#REF!</definedName>
    <definedName name="脚名26" localSheetId="1">[1]スケルトン!#REF!</definedName>
    <definedName name="脚名26">[1]スケルトン!#REF!</definedName>
    <definedName name="脚名27" localSheetId="1">[1]スケルトン!#REF!</definedName>
    <definedName name="脚名27">[1]スケルトン!#REF!</definedName>
    <definedName name="脚名28" localSheetId="1">[1]スケルトン!#REF!</definedName>
    <definedName name="脚名28">[1]スケルトン!#REF!</definedName>
    <definedName name="脚名29" localSheetId="1">[1]スケルトン!#REF!</definedName>
    <definedName name="脚名29">[1]スケルトン!#REF!</definedName>
    <definedName name="脚名30" localSheetId="1">[1]スケルトン!#REF!</definedName>
    <definedName name="脚名30">[1]スケルトン!#REF!</definedName>
    <definedName name="脚名31" localSheetId="1">[1]スケルトン!#REF!</definedName>
    <definedName name="脚名31">[1]スケルトン!#REF!</definedName>
    <definedName name="脚名32" localSheetId="1">[1]スケルトン!#REF!</definedName>
    <definedName name="脚名32">[1]スケルトン!#REF!</definedName>
    <definedName name="脚名33" localSheetId="1">[1]スケルトン!#REF!</definedName>
    <definedName name="脚名33">[1]スケルトン!#REF!</definedName>
    <definedName name="脚名34" localSheetId="1">[1]スケルトン!#REF!</definedName>
    <definedName name="脚名34">[1]スケルトン!#REF!</definedName>
    <definedName name="脚名35" localSheetId="1">[1]スケルトン!#REF!</definedName>
    <definedName name="脚名35">[1]スケルトン!#REF!</definedName>
    <definedName name="脚名36" localSheetId="1">[1]スケルトン!#REF!</definedName>
    <definedName name="脚名36">[1]スケルトン!#REF!</definedName>
    <definedName name="脚名37" localSheetId="1">[1]スケルトン!#REF!</definedName>
    <definedName name="脚名37">[1]スケルトン!#REF!</definedName>
    <definedName name="脚名38" localSheetId="1">[1]スケルトン!#REF!</definedName>
    <definedName name="脚名38">[1]スケルトン!#REF!</definedName>
    <definedName name="脚名39" localSheetId="1">[1]スケルトン!#REF!</definedName>
    <definedName name="脚名39">[1]スケルトン!#REF!</definedName>
    <definedName name="脚名40" localSheetId="1">[1]スケルトン!#REF!</definedName>
    <definedName name="脚名40">[1]スケルトン!#REF!</definedName>
    <definedName name="脚名41" localSheetId="1">[1]スケルトン!#REF!</definedName>
    <definedName name="脚名41">[1]スケルトン!#REF!</definedName>
    <definedName name="脚名42" localSheetId="1">[1]スケルトン!#REF!</definedName>
    <definedName name="脚名42">[1]スケルトン!#REF!</definedName>
    <definedName name="脚名43" localSheetId="1">[1]スケルトン!#REF!</definedName>
    <definedName name="脚名43">[1]スケルトン!#REF!</definedName>
    <definedName name="脚名44" localSheetId="1">[1]スケルトン!#REF!</definedName>
    <definedName name="脚名44">[1]スケルトン!#REF!</definedName>
    <definedName name="脚名45" localSheetId="1">[1]スケルトン!#REF!</definedName>
    <definedName name="脚名45">[1]スケルトン!#REF!</definedName>
    <definedName name="脚名46" localSheetId="1">[1]スケルトン!#REF!</definedName>
    <definedName name="脚名46">[1]スケルトン!#REF!</definedName>
    <definedName name="脚名47" localSheetId="1">[1]スケルトン!#REF!</definedName>
    <definedName name="脚名47">[1]スケルトン!#REF!</definedName>
    <definedName name="脚名48" localSheetId="1">[1]スケルトン!#REF!</definedName>
    <definedName name="脚名48">[1]スケルトン!#REF!</definedName>
    <definedName name="脚名49" localSheetId="1">[1]スケルトン!#REF!</definedName>
    <definedName name="脚名49">[1]スケルトン!#REF!</definedName>
    <definedName name="脚名50" localSheetId="1">[1]スケルトン!#REF!</definedName>
    <definedName name="脚名50">[1]スケルトン!#REF!</definedName>
    <definedName name="記号" localSheetId="1">#REF!</definedName>
    <definedName name="記号" localSheetId="12">#REF!</definedName>
    <definedName name="記号" localSheetId="13">#REF!</definedName>
    <definedName name="記号" localSheetId="6">#REF!</definedName>
    <definedName name="記号" localSheetId="7">#REF!</definedName>
    <definedName name="記号" localSheetId="10">#REF!</definedName>
    <definedName name="記号">#REF!</definedName>
    <definedName name="記号01" localSheetId="1">#REF!</definedName>
    <definedName name="記号01" localSheetId="12">#REF!</definedName>
    <definedName name="記号01" localSheetId="13">#REF!</definedName>
    <definedName name="記号01" localSheetId="6">#REF!</definedName>
    <definedName name="記号01" localSheetId="7">#REF!</definedName>
    <definedName name="記号01" localSheetId="10">#REF!</definedName>
    <definedName name="記号01">#REF!</definedName>
    <definedName name="記号02" localSheetId="1">#REF!</definedName>
    <definedName name="記号02" localSheetId="12">#REF!</definedName>
    <definedName name="記号02" localSheetId="13">#REF!</definedName>
    <definedName name="記号02" localSheetId="6">#REF!</definedName>
    <definedName name="記号02" localSheetId="7">#REF!</definedName>
    <definedName name="記号02" localSheetId="10">#REF!</definedName>
    <definedName name="記号02">#REF!</definedName>
    <definedName name="記号03" localSheetId="1">#REF!</definedName>
    <definedName name="記号03">#REF!</definedName>
    <definedName name="記号04" localSheetId="1">#REF!</definedName>
    <definedName name="記号04">#REF!</definedName>
    <definedName name="許容塑性率" localSheetId="1">#REF!</definedName>
    <definedName name="許容塑性率">#REF!</definedName>
    <definedName name="軸基礎バネ" localSheetId="1">#REF!</definedName>
    <definedName name="軸基礎バネ">#REF!</definedName>
    <definedName name="軸震度1" localSheetId="1">[19]枠!#REF!</definedName>
    <definedName name="軸震度1">[19]枠!#REF!</definedName>
    <definedName name="軸震度2" localSheetId="1">[19]枠!#REF!</definedName>
    <definedName name="軸震度2">[19]枠!#REF!</definedName>
    <definedName name="軸震度3" localSheetId="1">[19]枠!#REF!</definedName>
    <definedName name="軸震度3">[19]枠!#REF!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2" l="1"/>
  <c r="N69" i="12"/>
  <c r="L47" i="15" l="1"/>
  <c r="N15" i="21" l="1"/>
  <c r="J42" i="19"/>
  <c r="H42" i="19" l="1"/>
  <c r="L42" i="19" l="1"/>
  <c r="H30" i="18"/>
  <c r="H12" i="18"/>
  <c r="H17" i="18" l="1"/>
  <c r="B10" i="17"/>
  <c r="H42" i="17" l="1"/>
  <c r="J42" i="17"/>
  <c r="L42" i="17" l="1"/>
  <c r="J94" i="14" l="1"/>
  <c r="H94" i="14"/>
  <c r="L94" i="14" l="1"/>
  <c r="M30" i="13" l="1"/>
  <c r="M29" i="13"/>
  <c r="M28" i="13"/>
  <c r="M27" i="13"/>
  <c r="M22" i="13"/>
  <c r="M21" i="13"/>
  <c r="M18" i="13"/>
  <c r="M17" i="13"/>
  <c r="M16" i="13"/>
  <c r="M15" i="13"/>
  <c r="M14" i="13"/>
  <c r="M13" i="13"/>
  <c r="M12" i="13"/>
  <c r="N12" i="13" s="1"/>
  <c r="H37" i="13" l="1"/>
  <c r="O12" i="13"/>
  <c r="L37" i="13" l="1"/>
  <c r="J37" i="13"/>
  <c r="H15" i="12" l="1"/>
  <c r="J15" i="12"/>
  <c r="H14" i="12" l="1"/>
  <c r="J14" i="12"/>
  <c r="H13" i="12" l="1"/>
  <c r="J13" i="12"/>
  <c r="H12" i="12" l="1"/>
  <c r="J12" i="12"/>
  <c r="K13" i="12"/>
  <c r="L13" i="12" s="1"/>
  <c r="K15" i="12" l="1"/>
  <c r="L15" i="12" s="1"/>
  <c r="K14" i="12"/>
  <c r="L14" i="12" s="1"/>
  <c r="H17" i="12"/>
  <c r="K12" i="12"/>
  <c r="J17" i="12"/>
  <c r="K17" i="12" l="1"/>
  <c r="L12" i="12"/>
  <c r="L17" i="12" s="1"/>
  <c r="N17" i="12" s="1"/>
  <c r="I138" i="10" l="1"/>
  <c r="K138" i="10"/>
  <c r="G138" i="10"/>
  <c r="K250" i="4" l="1"/>
  <c r="J60" i="4" l="1"/>
  <c r="S97" i="4" l="1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G61" i="4" s="1"/>
  <c r="S60" i="4"/>
  <c r="G60" i="4" s="1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H38" i="4"/>
  <c r="K32" i="4"/>
  <c r="E32" i="4"/>
  <c r="H32" i="4" s="1"/>
  <c r="J37" i="4"/>
  <c r="K37" i="4"/>
  <c r="H37" i="4"/>
  <c r="L37" i="4" l="1"/>
  <c r="J32" i="4"/>
  <c r="L32" i="4" s="1"/>
  <c r="H36" i="4"/>
  <c r="H35" i="4"/>
  <c r="H34" i="4"/>
  <c r="H33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K39" i="4"/>
  <c r="J39" i="4"/>
  <c r="L39" i="4" s="1"/>
  <c r="K38" i="4"/>
  <c r="J38" i="4"/>
  <c r="L38" i="4" s="1"/>
  <c r="K36" i="4"/>
  <c r="J36" i="4"/>
  <c r="K35" i="4"/>
  <c r="J35" i="4"/>
  <c r="K34" i="4"/>
  <c r="J34" i="4"/>
  <c r="K33" i="4"/>
  <c r="J33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4" i="4"/>
  <c r="J24" i="4"/>
  <c r="L24" i="4" s="1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6" i="4"/>
  <c r="J16" i="4"/>
  <c r="K15" i="4"/>
  <c r="J15" i="4"/>
  <c r="K14" i="4"/>
  <c r="J14" i="4"/>
  <c r="K13" i="4"/>
  <c r="J13" i="4"/>
  <c r="K12" i="4"/>
  <c r="J12" i="4"/>
  <c r="K37" i="7"/>
  <c r="I37" i="7"/>
  <c r="K36" i="7"/>
  <c r="I36" i="7"/>
  <c r="K35" i="7"/>
  <c r="I35" i="7"/>
  <c r="K34" i="7"/>
  <c r="I34" i="7"/>
  <c r="F34" i="7"/>
  <c r="K33" i="7"/>
  <c r="L33" i="7" s="1"/>
  <c r="I33" i="7"/>
  <c r="F33" i="7"/>
  <c r="K32" i="7"/>
  <c r="I32" i="7"/>
  <c r="F32" i="7"/>
  <c r="K31" i="7"/>
  <c r="I31" i="7"/>
  <c r="F31" i="7"/>
  <c r="K30" i="7"/>
  <c r="I30" i="7"/>
  <c r="F30" i="7"/>
  <c r="K29" i="7"/>
  <c r="L29" i="7" s="1"/>
  <c r="I29" i="7"/>
  <c r="K28" i="7"/>
  <c r="I28" i="7"/>
  <c r="K27" i="7"/>
  <c r="I27" i="7"/>
  <c r="K26" i="7"/>
  <c r="I26" i="7"/>
  <c r="K25" i="7"/>
  <c r="L25" i="7" s="1"/>
  <c r="I25" i="7"/>
  <c r="F25" i="7"/>
  <c r="K24" i="7"/>
  <c r="I24" i="7"/>
  <c r="F24" i="7"/>
  <c r="K23" i="7"/>
  <c r="I23" i="7"/>
  <c r="L23" i="7" s="1"/>
  <c r="F23" i="7"/>
  <c r="K22" i="7"/>
  <c r="I22" i="7"/>
  <c r="F22" i="7"/>
  <c r="K21" i="7"/>
  <c r="I21" i="7"/>
  <c r="F21" i="7"/>
  <c r="K20" i="7"/>
  <c r="I20" i="7"/>
  <c r="F20" i="7"/>
  <c r="K19" i="7"/>
  <c r="I19" i="7"/>
  <c r="L19" i="7" s="1"/>
  <c r="K18" i="7"/>
  <c r="L18" i="7" s="1"/>
  <c r="I18" i="7"/>
  <c r="F18" i="7"/>
  <c r="K17" i="7"/>
  <c r="I17" i="7"/>
  <c r="F17" i="7"/>
  <c r="K16" i="7"/>
  <c r="I16" i="7"/>
  <c r="F16" i="7"/>
  <c r="K15" i="7"/>
  <c r="I15" i="7"/>
  <c r="F15" i="7"/>
  <c r="K14" i="7"/>
  <c r="L14" i="7" s="1"/>
  <c r="I14" i="7"/>
  <c r="F14" i="7"/>
  <c r="K13" i="7"/>
  <c r="I13" i="7"/>
  <c r="F13" i="7"/>
  <c r="K12" i="7"/>
  <c r="I12" i="7"/>
  <c r="I10" i="7"/>
  <c r="I39" i="7" s="1"/>
  <c r="L31" i="7" l="1"/>
  <c r="L22" i="7"/>
  <c r="L30" i="7"/>
  <c r="L36" i="7"/>
  <c r="L35" i="7"/>
  <c r="L28" i="7"/>
  <c r="L32" i="7"/>
  <c r="L37" i="7"/>
  <c r="L20" i="7"/>
  <c r="L24" i="7"/>
  <c r="L21" i="7"/>
  <c r="L17" i="7"/>
  <c r="L33" i="4"/>
  <c r="L12" i="7"/>
  <c r="L15" i="7"/>
  <c r="L27" i="7"/>
  <c r="L34" i="7"/>
  <c r="L13" i="7"/>
  <c r="L16" i="7"/>
  <c r="L26" i="7"/>
  <c r="L14" i="4"/>
  <c r="L12" i="4"/>
  <c r="L20" i="4"/>
  <c r="L26" i="4"/>
  <c r="L28" i="4"/>
  <c r="L19" i="4"/>
  <c r="L27" i="4"/>
  <c r="L36" i="4"/>
  <c r="L17" i="4"/>
  <c r="L25" i="4"/>
  <c r="L30" i="4"/>
  <c r="L23" i="4"/>
  <c r="H10" i="4"/>
  <c r="J10" i="4"/>
  <c r="L34" i="4"/>
  <c r="L16" i="4"/>
  <c r="L35" i="4"/>
  <c r="L13" i="4"/>
  <c r="L31" i="4"/>
  <c r="L21" i="4"/>
  <c r="L18" i="4"/>
  <c r="L15" i="4"/>
  <c r="L22" i="4"/>
  <c r="L29" i="4"/>
  <c r="K10" i="7"/>
  <c r="K39" i="7" s="1"/>
  <c r="L10" i="7" l="1"/>
  <c r="L39" i="7" s="1"/>
  <c r="L10" i="4"/>
  <c r="L40" i="7"/>
  <c r="L41" i="7" s="1"/>
  <c r="K315" i="4"/>
  <c r="J315" i="4"/>
  <c r="L315" i="4" s="1"/>
  <c r="K314" i="4"/>
  <c r="L314" i="4" s="1"/>
  <c r="J314" i="4"/>
  <c r="J312" i="4"/>
  <c r="J311" i="4"/>
  <c r="J310" i="4"/>
  <c r="J308" i="4"/>
  <c r="J307" i="4"/>
  <c r="J305" i="4"/>
  <c r="J304" i="4"/>
  <c r="J303" i="4"/>
  <c r="J302" i="4"/>
  <c r="J301" i="4"/>
  <c r="J299" i="4"/>
  <c r="J298" i="4"/>
  <c r="J297" i="4"/>
  <c r="J296" i="4"/>
  <c r="J295" i="4"/>
  <c r="J294" i="4"/>
  <c r="J292" i="4"/>
  <c r="J291" i="4"/>
  <c r="J290" i="4"/>
  <c r="J289" i="4"/>
  <c r="J287" i="4"/>
  <c r="J286" i="4"/>
  <c r="J284" i="4"/>
  <c r="J283" i="4"/>
  <c r="J282" i="4"/>
  <c r="J280" i="4"/>
  <c r="J279" i="4"/>
  <c r="J278" i="4"/>
  <c r="J277" i="4"/>
  <c r="J276" i="4"/>
  <c r="K273" i="4"/>
  <c r="L273" i="4" s="1"/>
  <c r="J273" i="4"/>
  <c r="K272" i="4"/>
  <c r="L272" i="4" s="1"/>
  <c r="J272" i="4"/>
  <c r="J270" i="4"/>
  <c r="J269" i="4"/>
  <c r="J267" i="4"/>
  <c r="J266" i="4"/>
  <c r="J265" i="4"/>
  <c r="J264" i="4"/>
  <c r="J262" i="4"/>
  <c r="J261" i="4"/>
  <c r="J260" i="4"/>
  <c r="J259" i="4"/>
  <c r="J258" i="4"/>
  <c r="J257" i="4"/>
  <c r="J256" i="4"/>
  <c r="J255" i="4"/>
  <c r="J252" i="4"/>
  <c r="J251" i="4"/>
  <c r="J250" i="4"/>
  <c r="J248" i="4"/>
  <c r="J247" i="4"/>
  <c r="J246" i="4"/>
  <c r="J245" i="4"/>
  <c r="J244" i="4"/>
  <c r="J243" i="4"/>
  <c r="J242" i="4"/>
  <c r="J241" i="4"/>
  <c r="J240" i="4"/>
  <c r="J239" i="4"/>
  <c r="J238" i="4"/>
  <c r="S314" i="4"/>
  <c r="S313" i="4"/>
  <c r="S312" i="4"/>
  <c r="S311" i="4"/>
  <c r="S310" i="4"/>
  <c r="G310" i="4" s="1"/>
  <c r="K310" i="4" s="1"/>
  <c r="S309" i="4"/>
  <c r="S308" i="4"/>
  <c r="G308" i="4" s="1"/>
  <c r="K308" i="4" s="1"/>
  <c r="S307" i="4"/>
  <c r="S306" i="4"/>
  <c r="S305" i="4"/>
  <c r="G305" i="4" s="1"/>
  <c r="K305" i="4" s="1"/>
  <c r="S304" i="4"/>
  <c r="G304" i="4" s="1"/>
  <c r="H304" i="4" s="1"/>
  <c r="S303" i="4"/>
  <c r="S302" i="4"/>
  <c r="G302" i="4" s="1"/>
  <c r="K302" i="4" s="1"/>
  <c r="S301" i="4"/>
  <c r="S300" i="4"/>
  <c r="S299" i="4"/>
  <c r="G299" i="4" s="1"/>
  <c r="K299" i="4" s="1"/>
  <c r="S298" i="4"/>
  <c r="G298" i="4" s="1"/>
  <c r="S297" i="4"/>
  <c r="G297" i="4" s="1"/>
  <c r="H297" i="4" s="1"/>
  <c r="S296" i="4"/>
  <c r="G296" i="4" s="1"/>
  <c r="S295" i="4"/>
  <c r="S294" i="4"/>
  <c r="G294" i="4" s="1"/>
  <c r="K294" i="4" s="1"/>
  <c r="S293" i="4"/>
  <c r="S292" i="4"/>
  <c r="S291" i="4"/>
  <c r="S290" i="4"/>
  <c r="G290" i="4" s="1"/>
  <c r="S289" i="4"/>
  <c r="G289" i="4" s="1"/>
  <c r="H289" i="4" s="1"/>
  <c r="L289" i="4" s="1"/>
  <c r="S288" i="4"/>
  <c r="S287" i="4"/>
  <c r="S286" i="4"/>
  <c r="G286" i="4" s="1"/>
  <c r="K286" i="4" s="1"/>
  <c r="S285" i="4"/>
  <c r="S284" i="4"/>
  <c r="G284" i="4" s="1"/>
  <c r="H284" i="4" s="1"/>
  <c r="S283" i="4"/>
  <c r="S282" i="4"/>
  <c r="G282" i="4" s="1"/>
  <c r="K282" i="4" s="1"/>
  <c r="S281" i="4"/>
  <c r="S280" i="4"/>
  <c r="G280" i="4" s="1"/>
  <c r="K280" i="4" s="1"/>
  <c r="S279" i="4"/>
  <c r="G279" i="4" s="1"/>
  <c r="K279" i="4" s="1"/>
  <c r="S278" i="4"/>
  <c r="G278" i="4" s="1"/>
  <c r="K278" i="4" s="1"/>
  <c r="S277" i="4"/>
  <c r="G277" i="4" s="1"/>
  <c r="H277" i="4" s="1"/>
  <c r="S276" i="4"/>
  <c r="G276" i="4" s="1"/>
  <c r="S275" i="4"/>
  <c r="S274" i="4"/>
  <c r="S273" i="4"/>
  <c r="S272" i="4"/>
  <c r="S271" i="4"/>
  <c r="S270" i="4"/>
  <c r="G270" i="4" s="1"/>
  <c r="H270" i="4" s="1"/>
  <c r="S269" i="4"/>
  <c r="G269" i="4" s="1"/>
  <c r="K269" i="4" s="1"/>
  <c r="S268" i="4"/>
  <c r="S267" i="4"/>
  <c r="S266" i="4"/>
  <c r="G266" i="4" s="1"/>
  <c r="S265" i="4"/>
  <c r="G265" i="4" s="1"/>
  <c r="S264" i="4"/>
  <c r="G264" i="4" s="1"/>
  <c r="S263" i="4"/>
  <c r="S262" i="4"/>
  <c r="G262" i="4" s="1"/>
  <c r="H262" i="4" s="1"/>
  <c r="S261" i="4"/>
  <c r="G261" i="4" s="1"/>
  <c r="H261" i="4" s="1"/>
  <c r="S260" i="4"/>
  <c r="G260" i="4" s="1"/>
  <c r="K260" i="4" s="1"/>
  <c r="S259" i="4"/>
  <c r="S258" i="4"/>
  <c r="G258" i="4" s="1"/>
  <c r="H258" i="4" s="1"/>
  <c r="S257" i="4"/>
  <c r="G257" i="4" s="1"/>
  <c r="S256" i="4"/>
  <c r="G256" i="4" s="1"/>
  <c r="K256" i="4" s="1"/>
  <c r="S255" i="4"/>
  <c r="S254" i="4"/>
  <c r="S253" i="4"/>
  <c r="S252" i="4"/>
  <c r="G252" i="4" s="1"/>
  <c r="K252" i="4" s="1"/>
  <c r="S251" i="4"/>
  <c r="G251" i="4" s="1"/>
  <c r="H251" i="4" s="1"/>
  <c r="S250" i="4"/>
  <c r="S249" i="4"/>
  <c r="S248" i="4"/>
  <c r="G248" i="4" s="1"/>
  <c r="K248" i="4" s="1"/>
  <c r="S247" i="4"/>
  <c r="G247" i="4" s="1"/>
  <c r="K247" i="4" s="1"/>
  <c r="S246" i="4"/>
  <c r="G246" i="4" s="1"/>
  <c r="H246" i="4" s="1"/>
  <c r="S245" i="4"/>
  <c r="G245" i="4" s="1"/>
  <c r="S244" i="4"/>
  <c r="G244" i="4" s="1"/>
  <c r="H244" i="4" s="1"/>
  <c r="S243" i="4"/>
  <c r="G243" i="4" s="1"/>
  <c r="S242" i="4"/>
  <c r="G242" i="4" s="1"/>
  <c r="S241" i="4"/>
  <c r="G241" i="4" s="1"/>
  <c r="S240" i="4"/>
  <c r="G240" i="4" s="1"/>
  <c r="H240" i="4" s="1"/>
  <c r="S239" i="4"/>
  <c r="S238" i="4"/>
  <c r="G238" i="4" s="1"/>
  <c r="K238" i="4" s="1"/>
  <c r="S237" i="4"/>
  <c r="S236" i="4"/>
  <c r="S235" i="4"/>
  <c r="S234" i="4"/>
  <c r="S233" i="4"/>
  <c r="S232" i="4"/>
  <c r="S231" i="4"/>
  <c r="S230" i="4"/>
  <c r="S229" i="4"/>
  <c r="S228" i="4"/>
  <c r="S227" i="4"/>
  <c r="S226" i="4"/>
  <c r="S225" i="4"/>
  <c r="S224" i="4"/>
  <c r="S223" i="4"/>
  <c r="S222" i="4"/>
  <c r="S221" i="4"/>
  <c r="S220" i="4"/>
  <c r="S219" i="4"/>
  <c r="S218" i="4"/>
  <c r="S217" i="4"/>
  <c r="S216" i="4"/>
  <c r="S215" i="4"/>
  <c r="S214" i="4"/>
  <c r="S213" i="4"/>
  <c r="S212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G97" i="4"/>
  <c r="G91" i="4"/>
  <c r="H91" i="4" s="1"/>
  <c r="G90" i="4"/>
  <c r="G82" i="4"/>
  <c r="G81" i="4"/>
  <c r="H81" i="4" s="1"/>
  <c r="G80" i="4"/>
  <c r="K80" i="4" s="1"/>
  <c r="G77" i="4"/>
  <c r="H77" i="4" s="1"/>
  <c r="G75" i="4"/>
  <c r="H75" i="4" s="1"/>
  <c r="G74" i="4"/>
  <c r="H74" i="4" s="1"/>
  <c r="G67" i="4"/>
  <c r="G65" i="4"/>
  <c r="H65" i="4" s="1"/>
  <c r="G58" i="4"/>
  <c r="H58" i="4" s="1"/>
  <c r="G50" i="4"/>
  <c r="H50" i="4" s="1"/>
  <c r="G49" i="4"/>
  <c r="H49" i="4" s="1"/>
  <c r="G44" i="4"/>
  <c r="G43" i="4"/>
  <c r="G312" i="4"/>
  <c r="K312" i="4" s="1"/>
  <c r="G311" i="4"/>
  <c r="K311" i="4" s="1"/>
  <c r="G307" i="4"/>
  <c r="H307" i="4" s="1"/>
  <c r="L307" i="4" s="1"/>
  <c r="G303" i="4"/>
  <c r="K303" i="4" s="1"/>
  <c r="G301" i="4"/>
  <c r="K301" i="4" s="1"/>
  <c r="G295" i="4"/>
  <c r="K295" i="4" s="1"/>
  <c r="G292" i="4"/>
  <c r="H292" i="4" s="1"/>
  <c r="L292" i="4" s="1"/>
  <c r="G291" i="4"/>
  <c r="K291" i="4" s="1"/>
  <c r="G287" i="4"/>
  <c r="K287" i="4" s="1"/>
  <c r="G283" i="4"/>
  <c r="K283" i="4" s="1"/>
  <c r="G267" i="4"/>
  <c r="K267" i="4" s="1"/>
  <c r="G259" i="4"/>
  <c r="H259" i="4" s="1"/>
  <c r="L259" i="4" s="1"/>
  <c r="G255" i="4"/>
  <c r="K255" i="4" s="1"/>
  <c r="G239" i="4"/>
  <c r="K239" i="4" s="1"/>
  <c r="S317" i="4"/>
  <c r="S316" i="4"/>
  <c r="S315" i="4"/>
  <c r="G93" i="4"/>
  <c r="H93" i="4" s="1"/>
  <c r="G73" i="4"/>
  <c r="H73" i="4" s="1"/>
  <c r="H61" i="4"/>
  <c r="K233" i="4"/>
  <c r="J233" i="4"/>
  <c r="K232" i="4"/>
  <c r="J232" i="4"/>
  <c r="K231" i="4"/>
  <c r="J231" i="4"/>
  <c r="K230" i="4"/>
  <c r="J230" i="4"/>
  <c r="K229" i="4"/>
  <c r="J229" i="4"/>
  <c r="K228" i="4"/>
  <c r="J228" i="4"/>
  <c r="K227" i="4"/>
  <c r="J227" i="4"/>
  <c r="K226" i="4"/>
  <c r="J226" i="4"/>
  <c r="K225" i="4"/>
  <c r="J225" i="4"/>
  <c r="K224" i="4"/>
  <c r="J224" i="4"/>
  <c r="K223" i="4"/>
  <c r="J223" i="4"/>
  <c r="K222" i="4"/>
  <c r="J222" i="4"/>
  <c r="K221" i="4"/>
  <c r="J221" i="4"/>
  <c r="K220" i="4"/>
  <c r="J220" i="4"/>
  <c r="K219" i="4"/>
  <c r="J219" i="4"/>
  <c r="K218" i="4"/>
  <c r="J218" i="4"/>
  <c r="K217" i="4"/>
  <c r="J217" i="4"/>
  <c r="K216" i="4"/>
  <c r="J216" i="4"/>
  <c r="K215" i="4"/>
  <c r="J215" i="4"/>
  <c r="K214" i="4"/>
  <c r="J214" i="4"/>
  <c r="K213" i="4"/>
  <c r="K212" i="4"/>
  <c r="J212" i="4"/>
  <c r="K211" i="4"/>
  <c r="J211" i="4"/>
  <c r="K210" i="4"/>
  <c r="J210" i="4"/>
  <c r="K209" i="4"/>
  <c r="J209" i="4"/>
  <c r="K208" i="4"/>
  <c r="J208" i="4"/>
  <c r="K207" i="4"/>
  <c r="J207" i="4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K199" i="4"/>
  <c r="J199" i="4"/>
  <c r="K198" i="4"/>
  <c r="J198" i="4"/>
  <c r="K197" i="4"/>
  <c r="J197" i="4"/>
  <c r="K196" i="4"/>
  <c r="J196" i="4"/>
  <c r="K195" i="4"/>
  <c r="J195" i="4"/>
  <c r="K194" i="4"/>
  <c r="J194" i="4"/>
  <c r="K193" i="4"/>
  <c r="J193" i="4"/>
  <c r="K192" i="4"/>
  <c r="J192" i="4"/>
  <c r="K191" i="4"/>
  <c r="J191" i="4"/>
  <c r="K190" i="4"/>
  <c r="J190" i="4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K179" i="4"/>
  <c r="J179" i="4"/>
  <c r="K178" i="4"/>
  <c r="J178" i="4"/>
  <c r="K177" i="4"/>
  <c r="J177" i="4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K166" i="4"/>
  <c r="J166" i="4"/>
  <c r="K165" i="4"/>
  <c r="J165" i="4"/>
  <c r="K164" i="4"/>
  <c r="J164" i="4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K156" i="4"/>
  <c r="J156" i="4"/>
  <c r="K155" i="4"/>
  <c r="J155" i="4"/>
  <c r="K154" i="4"/>
  <c r="J154" i="4"/>
  <c r="K153" i="4"/>
  <c r="J153" i="4"/>
  <c r="K152" i="4"/>
  <c r="J152" i="4"/>
  <c r="K151" i="4"/>
  <c r="J151" i="4"/>
  <c r="K150" i="4"/>
  <c r="J150" i="4"/>
  <c r="K149" i="4"/>
  <c r="J149" i="4"/>
  <c r="K148" i="4"/>
  <c r="J148" i="4"/>
  <c r="K147" i="4"/>
  <c r="J147" i="4"/>
  <c r="K146" i="4"/>
  <c r="J146" i="4"/>
  <c r="K145" i="4"/>
  <c r="J145" i="4"/>
  <c r="K144" i="4"/>
  <c r="J144" i="4"/>
  <c r="K143" i="4"/>
  <c r="J143" i="4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K135" i="4"/>
  <c r="J135" i="4"/>
  <c r="K134" i="4"/>
  <c r="J134" i="4"/>
  <c r="K133" i="4"/>
  <c r="J133" i="4"/>
  <c r="K132" i="4"/>
  <c r="J132" i="4"/>
  <c r="K131" i="4"/>
  <c r="J131" i="4"/>
  <c r="K130" i="4"/>
  <c r="J130" i="4"/>
  <c r="K129" i="4"/>
  <c r="J129" i="4"/>
  <c r="K128" i="4"/>
  <c r="J128" i="4"/>
  <c r="K127" i="4"/>
  <c r="J127" i="4"/>
  <c r="K126" i="4"/>
  <c r="J126" i="4"/>
  <c r="K125" i="4"/>
  <c r="J125" i="4"/>
  <c r="K124" i="4"/>
  <c r="J124" i="4"/>
  <c r="K123" i="4"/>
  <c r="J123" i="4"/>
  <c r="K122" i="4"/>
  <c r="J122" i="4"/>
  <c r="K121" i="4"/>
  <c r="J121" i="4"/>
  <c r="K120" i="4"/>
  <c r="J120" i="4"/>
  <c r="K119" i="4"/>
  <c r="J119" i="4"/>
  <c r="K118" i="4"/>
  <c r="J118" i="4"/>
  <c r="K117" i="4"/>
  <c r="J117" i="4"/>
  <c r="K116" i="4"/>
  <c r="J116" i="4"/>
  <c r="K115" i="4"/>
  <c r="J115" i="4"/>
  <c r="K114" i="4"/>
  <c r="J114" i="4"/>
  <c r="K113" i="4"/>
  <c r="J113" i="4"/>
  <c r="K112" i="4"/>
  <c r="J112" i="4"/>
  <c r="K111" i="4"/>
  <c r="J111" i="4"/>
  <c r="K110" i="4"/>
  <c r="J110" i="4"/>
  <c r="K109" i="4"/>
  <c r="J109" i="4"/>
  <c r="K108" i="4"/>
  <c r="J108" i="4"/>
  <c r="K107" i="4"/>
  <c r="J107" i="4"/>
  <c r="K106" i="4"/>
  <c r="J106" i="4"/>
  <c r="K105" i="4"/>
  <c r="J105" i="4"/>
  <c r="K104" i="4"/>
  <c r="J104" i="4"/>
  <c r="K103" i="4"/>
  <c r="J103" i="4"/>
  <c r="K102" i="4"/>
  <c r="J102" i="4"/>
  <c r="H233" i="4"/>
  <c r="H232" i="4"/>
  <c r="H231" i="4"/>
  <c r="H230" i="4"/>
  <c r="H229" i="4"/>
  <c r="H228" i="4"/>
  <c r="H227" i="4"/>
  <c r="L227" i="4" s="1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2" i="4"/>
  <c r="L212" i="4" s="1"/>
  <c r="H211" i="4"/>
  <c r="L211" i="4" s="1"/>
  <c r="H210" i="4"/>
  <c r="H209" i="4"/>
  <c r="H208" i="4"/>
  <c r="L208" i="4" s="1"/>
  <c r="H207" i="4"/>
  <c r="H206" i="4"/>
  <c r="H205" i="4"/>
  <c r="H204" i="4"/>
  <c r="H203" i="4"/>
  <c r="L203" i="4" s="1"/>
  <c r="H202" i="4"/>
  <c r="H201" i="4"/>
  <c r="H200" i="4"/>
  <c r="L200" i="4" s="1"/>
  <c r="H199" i="4"/>
  <c r="H198" i="4"/>
  <c r="H197" i="4"/>
  <c r="H196" i="4"/>
  <c r="L196" i="4" s="1"/>
  <c r="H195" i="4"/>
  <c r="L195" i="4" s="1"/>
  <c r="H194" i="4"/>
  <c r="H193" i="4"/>
  <c r="H192" i="4"/>
  <c r="H191" i="4"/>
  <c r="H190" i="4"/>
  <c r="H189" i="4"/>
  <c r="H188" i="4"/>
  <c r="L188" i="4" s="1"/>
  <c r="H187" i="4"/>
  <c r="L187" i="4" s="1"/>
  <c r="H186" i="4"/>
  <c r="H185" i="4"/>
  <c r="H184" i="4"/>
  <c r="L184" i="4" s="1"/>
  <c r="H183" i="4"/>
  <c r="H182" i="4"/>
  <c r="H181" i="4"/>
  <c r="H180" i="4"/>
  <c r="H179" i="4"/>
  <c r="L179" i="4" s="1"/>
  <c r="H178" i="4"/>
  <c r="H177" i="4"/>
  <c r="H176" i="4"/>
  <c r="L176" i="4" s="1"/>
  <c r="H175" i="4"/>
  <c r="H174" i="4"/>
  <c r="H173" i="4"/>
  <c r="H172" i="4"/>
  <c r="L172" i="4" s="1"/>
  <c r="H171" i="4"/>
  <c r="L171" i="4" s="1"/>
  <c r="H170" i="4"/>
  <c r="H169" i="4"/>
  <c r="H168" i="4"/>
  <c r="H167" i="4"/>
  <c r="H166" i="4"/>
  <c r="H165" i="4"/>
  <c r="H164" i="4"/>
  <c r="L164" i="4" s="1"/>
  <c r="H163" i="4"/>
  <c r="L163" i="4" s="1"/>
  <c r="H162" i="4"/>
  <c r="H161" i="4"/>
  <c r="H160" i="4"/>
  <c r="L160" i="4" s="1"/>
  <c r="H159" i="4"/>
  <c r="H158" i="4"/>
  <c r="H157" i="4"/>
  <c r="H156" i="4"/>
  <c r="H155" i="4"/>
  <c r="L155" i="4" s="1"/>
  <c r="H154" i="4"/>
  <c r="H153" i="4"/>
  <c r="H152" i="4"/>
  <c r="L152" i="4" s="1"/>
  <c r="H151" i="4"/>
  <c r="H150" i="4"/>
  <c r="H149" i="4"/>
  <c r="H148" i="4"/>
  <c r="L148" i="4" s="1"/>
  <c r="H147" i="4"/>
  <c r="L147" i="4" s="1"/>
  <c r="H146" i="4"/>
  <c r="H145" i="4"/>
  <c r="H144" i="4"/>
  <c r="H143" i="4"/>
  <c r="H142" i="4"/>
  <c r="H141" i="4"/>
  <c r="H140" i="4"/>
  <c r="L140" i="4" s="1"/>
  <c r="H139" i="4"/>
  <c r="L139" i="4" s="1"/>
  <c r="H138" i="4"/>
  <c r="H137" i="4"/>
  <c r="H136" i="4"/>
  <c r="L136" i="4" s="1"/>
  <c r="H135" i="4"/>
  <c r="H134" i="4"/>
  <c r="H133" i="4"/>
  <c r="H132" i="4"/>
  <c r="H131" i="4"/>
  <c r="L131" i="4" s="1"/>
  <c r="H130" i="4"/>
  <c r="H129" i="4"/>
  <c r="H128" i="4"/>
  <c r="L128" i="4" s="1"/>
  <c r="H127" i="4"/>
  <c r="H126" i="4"/>
  <c r="H125" i="4"/>
  <c r="H124" i="4"/>
  <c r="L124" i="4" s="1"/>
  <c r="H123" i="4"/>
  <c r="L123" i="4" s="1"/>
  <c r="H122" i="4"/>
  <c r="H121" i="4"/>
  <c r="H120" i="4"/>
  <c r="H119" i="4"/>
  <c r="H118" i="4"/>
  <c r="H117" i="4"/>
  <c r="H116" i="4"/>
  <c r="L116" i="4" s="1"/>
  <c r="H115" i="4"/>
  <c r="L115" i="4" s="1"/>
  <c r="H114" i="4"/>
  <c r="H113" i="4"/>
  <c r="H112" i="4"/>
  <c r="L112" i="4" s="1"/>
  <c r="H111" i="4"/>
  <c r="H110" i="4"/>
  <c r="H109" i="4"/>
  <c r="H108" i="4"/>
  <c r="H107" i="4"/>
  <c r="L107" i="4" s="1"/>
  <c r="H106" i="4"/>
  <c r="H105" i="4"/>
  <c r="H104" i="4"/>
  <c r="L104" i="4" s="1"/>
  <c r="H103" i="4"/>
  <c r="H102" i="4"/>
  <c r="N48" i="4"/>
  <c r="K96" i="4"/>
  <c r="N96" i="4" s="1"/>
  <c r="K89" i="4"/>
  <c r="N89" i="4" s="1"/>
  <c r="K86" i="4"/>
  <c r="N86" i="4" s="1"/>
  <c r="K76" i="4"/>
  <c r="N76" i="4" s="1"/>
  <c r="K72" i="4"/>
  <c r="N72" i="4" s="1"/>
  <c r="K69" i="4"/>
  <c r="N69" i="4" s="1"/>
  <c r="K59" i="4"/>
  <c r="N59" i="4" s="1"/>
  <c r="K53" i="4"/>
  <c r="N53" i="4" s="1"/>
  <c r="J97" i="4"/>
  <c r="J95" i="4"/>
  <c r="G95" i="4"/>
  <c r="H95" i="4" s="1"/>
  <c r="G94" i="4"/>
  <c r="H94" i="4" s="1"/>
  <c r="J94" i="4"/>
  <c r="J93" i="4"/>
  <c r="G92" i="4"/>
  <c r="H92" i="4" s="1"/>
  <c r="J92" i="4"/>
  <c r="J91" i="4"/>
  <c r="J90" i="4"/>
  <c r="G88" i="4"/>
  <c r="H88" i="4" s="1"/>
  <c r="J88" i="4"/>
  <c r="G87" i="4"/>
  <c r="H87" i="4" s="1"/>
  <c r="J87" i="4"/>
  <c r="G85" i="4"/>
  <c r="H85" i="4" s="1"/>
  <c r="J85" i="4"/>
  <c r="G84" i="4"/>
  <c r="H84" i="4" s="1"/>
  <c r="J84" i="4"/>
  <c r="G83" i="4"/>
  <c r="H83" i="4" s="1"/>
  <c r="J83" i="4"/>
  <c r="J82" i="4"/>
  <c r="J81" i="4"/>
  <c r="J80" i="4"/>
  <c r="G79" i="4"/>
  <c r="H79" i="4" s="1"/>
  <c r="J79" i="4"/>
  <c r="G78" i="4"/>
  <c r="H78" i="4" s="1"/>
  <c r="J78" i="4"/>
  <c r="J77" i="4"/>
  <c r="J75" i="4"/>
  <c r="J74" i="4"/>
  <c r="J73" i="4"/>
  <c r="J71" i="4"/>
  <c r="G71" i="4"/>
  <c r="H71" i="4" s="1"/>
  <c r="G70" i="4"/>
  <c r="H70" i="4" s="1"/>
  <c r="J70" i="4"/>
  <c r="G68" i="4"/>
  <c r="G66" i="4"/>
  <c r="H66" i="4" s="1"/>
  <c r="G64" i="4"/>
  <c r="H64" i="4" s="1"/>
  <c r="G63" i="4"/>
  <c r="H63" i="4" s="1"/>
  <c r="G62" i="4"/>
  <c r="K60" i="4"/>
  <c r="L60" i="4" s="1"/>
  <c r="J58" i="4"/>
  <c r="G57" i="4"/>
  <c r="H57" i="4" s="1"/>
  <c r="J57" i="4"/>
  <c r="G56" i="4"/>
  <c r="H56" i="4" s="1"/>
  <c r="J56" i="4"/>
  <c r="G55" i="4"/>
  <c r="H55" i="4" s="1"/>
  <c r="J55" i="4"/>
  <c r="G54" i="4"/>
  <c r="H54" i="4" s="1"/>
  <c r="J54" i="4"/>
  <c r="G52" i="4"/>
  <c r="H52" i="4" s="1"/>
  <c r="J52" i="4"/>
  <c r="G51" i="4"/>
  <c r="H51" i="4" s="1"/>
  <c r="J51" i="4"/>
  <c r="J50" i="4"/>
  <c r="J49" i="4"/>
  <c r="G47" i="4"/>
  <c r="H47" i="4" s="1"/>
  <c r="J47" i="4"/>
  <c r="G46" i="4"/>
  <c r="J46" i="4"/>
  <c r="G45" i="4"/>
  <c r="H45" i="4" s="1"/>
  <c r="J45" i="4"/>
  <c r="J44" i="4"/>
  <c r="J43" i="4"/>
  <c r="J92" i="3"/>
  <c r="P90" i="3"/>
  <c r="L90" i="3"/>
  <c r="J90" i="3"/>
  <c r="K90" i="3" s="1"/>
  <c r="J89" i="3"/>
  <c r="K89" i="3" s="1"/>
  <c r="L87" i="3"/>
  <c r="J87" i="3"/>
  <c r="H87" i="3"/>
  <c r="P86" i="3"/>
  <c r="L86" i="3"/>
  <c r="J86" i="3"/>
  <c r="H86" i="3"/>
  <c r="L85" i="3"/>
  <c r="J85" i="3"/>
  <c r="H85" i="3"/>
  <c r="P83" i="3"/>
  <c r="M83" i="3"/>
  <c r="L83" i="3"/>
  <c r="J83" i="3"/>
  <c r="H83" i="3"/>
  <c r="P82" i="3"/>
  <c r="M82" i="3"/>
  <c r="L82" i="3"/>
  <c r="J82" i="3"/>
  <c r="H82" i="3"/>
  <c r="K82" i="3" s="1"/>
  <c r="L80" i="3"/>
  <c r="J80" i="3"/>
  <c r="K80" i="3" s="1"/>
  <c r="H80" i="3"/>
  <c r="P79" i="3"/>
  <c r="L79" i="3"/>
  <c r="J79" i="3"/>
  <c r="H79" i="3"/>
  <c r="P78" i="3"/>
  <c r="L78" i="3"/>
  <c r="J78" i="3"/>
  <c r="H78" i="3"/>
  <c r="P77" i="3"/>
  <c r="L77" i="3"/>
  <c r="J77" i="3"/>
  <c r="H77" i="3"/>
  <c r="L76" i="3"/>
  <c r="J76" i="3"/>
  <c r="H76" i="3"/>
  <c r="J75" i="3"/>
  <c r="K75" i="3" s="1"/>
  <c r="P74" i="3"/>
  <c r="L74" i="3"/>
  <c r="J74" i="3"/>
  <c r="H74" i="3"/>
  <c r="P73" i="3"/>
  <c r="L73" i="3"/>
  <c r="J73" i="3"/>
  <c r="H73" i="3"/>
  <c r="P72" i="3"/>
  <c r="L72" i="3"/>
  <c r="J72" i="3"/>
  <c r="H72" i="3"/>
  <c r="P71" i="3"/>
  <c r="L71" i="3"/>
  <c r="J71" i="3"/>
  <c r="H71" i="3"/>
  <c r="P70" i="3"/>
  <c r="L70" i="3"/>
  <c r="J70" i="3"/>
  <c r="H70" i="3"/>
  <c r="P69" i="3"/>
  <c r="L69" i="3"/>
  <c r="J69" i="3"/>
  <c r="H69" i="3"/>
  <c r="J68" i="3"/>
  <c r="K68" i="3" s="1"/>
  <c r="P67" i="3"/>
  <c r="L67" i="3"/>
  <c r="J67" i="3"/>
  <c r="H67" i="3"/>
  <c r="P66" i="3"/>
  <c r="L66" i="3"/>
  <c r="J66" i="3"/>
  <c r="H66" i="3"/>
  <c r="P65" i="3"/>
  <c r="L65" i="3"/>
  <c r="J65" i="3"/>
  <c r="H65" i="3"/>
  <c r="K65" i="3" s="1"/>
  <c r="P64" i="3"/>
  <c r="L64" i="3"/>
  <c r="J64" i="3"/>
  <c r="H64" i="3"/>
  <c r="J63" i="3"/>
  <c r="K63" i="3" s="1"/>
  <c r="P62" i="3"/>
  <c r="L62" i="3"/>
  <c r="J62" i="3"/>
  <c r="H62" i="3"/>
  <c r="P61" i="3"/>
  <c r="L61" i="3"/>
  <c r="J61" i="3"/>
  <c r="H61" i="3"/>
  <c r="J60" i="3"/>
  <c r="K60" i="3" s="1"/>
  <c r="P59" i="3"/>
  <c r="L59" i="3"/>
  <c r="J59" i="3"/>
  <c r="H59" i="3"/>
  <c r="P58" i="3"/>
  <c r="L58" i="3"/>
  <c r="J58" i="3"/>
  <c r="H58" i="3"/>
  <c r="P57" i="3"/>
  <c r="L57" i="3"/>
  <c r="J57" i="3"/>
  <c r="H57" i="3"/>
  <c r="J56" i="3"/>
  <c r="K56" i="3" s="1"/>
  <c r="P55" i="3"/>
  <c r="L55" i="3"/>
  <c r="J55" i="3"/>
  <c r="H55" i="3"/>
  <c r="K55" i="3" s="1"/>
  <c r="P54" i="3"/>
  <c r="L54" i="3"/>
  <c r="J54" i="3"/>
  <c r="H54" i="3"/>
  <c r="P53" i="3"/>
  <c r="L53" i="3"/>
  <c r="J53" i="3"/>
  <c r="H53" i="3"/>
  <c r="K53" i="3" s="1"/>
  <c r="P52" i="3"/>
  <c r="L52" i="3"/>
  <c r="J52" i="3"/>
  <c r="H52" i="3"/>
  <c r="P51" i="3"/>
  <c r="L51" i="3"/>
  <c r="J51" i="3"/>
  <c r="H51" i="3"/>
  <c r="L48" i="3"/>
  <c r="J48" i="3"/>
  <c r="K48" i="3" s="1"/>
  <c r="L47" i="3"/>
  <c r="J47" i="3"/>
  <c r="K47" i="3" s="1"/>
  <c r="L45" i="3"/>
  <c r="J45" i="3"/>
  <c r="H45" i="3"/>
  <c r="L44" i="3"/>
  <c r="J44" i="3"/>
  <c r="H44" i="3"/>
  <c r="M42" i="3"/>
  <c r="L42" i="3"/>
  <c r="J42" i="3"/>
  <c r="H42" i="3"/>
  <c r="K42" i="3" s="1"/>
  <c r="O41" i="3"/>
  <c r="M41" i="3"/>
  <c r="L41" i="3"/>
  <c r="J41" i="3"/>
  <c r="H41" i="3"/>
  <c r="M40" i="3"/>
  <c r="L40" i="3"/>
  <c r="J40" i="3"/>
  <c r="H40" i="3"/>
  <c r="M39" i="3"/>
  <c r="L39" i="3"/>
  <c r="J39" i="3"/>
  <c r="H39" i="3"/>
  <c r="L37" i="3"/>
  <c r="J37" i="3"/>
  <c r="H37" i="3"/>
  <c r="O36" i="3"/>
  <c r="M36" i="3"/>
  <c r="L36" i="3"/>
  <c r="J36" i="3"/>
  <c r="H36" i="3"/>
  <c r="O35" i="3"/>
  <c r="M35" i="3"/>
  <c r="L35" i="3"/>
  <c r="J35" i="3"/>
  <c r="H35" i="3"/>
  <c r="O34" i="3"/>
  <c r="M34" i="3"/>
  <c r="L34" i="3"/>
  <c r="J34" i="3"/>
  <c r="H34" i="3"/>
  <c r="O33" i="3"/>
  <c r="M33" i="3"/>
  <c r="L33" i="3"/>
  <c r="J33" i="3"/>
  <c r="H33" i="3"/>
  <c r="O32" i="3"/>
  <c r="M32" i="3"/>
  <c r="L32" i="3"/>
  <c r="J32" i="3"/>
  <c r="H32" i="3"/>
  <c r="O31" i="3"/>
  <c r="M31" i="3"/>
  <c r="L31" i="3"/>
  <c r="J31" i="3"/>
  <c r="H31" i="3"/>
  <c r="O30" i="3"/>
  <c r="M30" i="3"/>
  <c r="L30" i="3"/>
  <c r="J30" i="3"/>
  <c r="H30" i="3"/>
  <c r="J27" i="3"/>
  <c r="H27" i="3"/>
  <c r="L26" i="3"/>
  <c r="J26" i="3"/>
  <c r="H26" i="3"/>
  <c r="K26" i="3" s="1"/>
  <c r="L25" i="3"/>
  <c r="J25" i="3"/>
  <c r="H25" i="3"/>
  <c r="L24" i="3"/>
  <c r="J24" i="3"/>
  <c r="H24" i="3"/>
  <c r="K24" i="3" s="1"/>
  <c r="L22" i="3"/>
  <c r="J22" i="3"/>
  <c r="H22" i="3"/>
  <c r="L21" i="3"/>
  <c r="J21" i="3"/>
  <c r="H21" i="3"/>
  <c r="K21" i="3" s="1"/>
  <c r="L20" i="3"/>
  <c r="J20" i="3"/>
  <c r="H20" i="3"/>
  <c r="L19" i="3"/>
  <c r="J19" i="3"/>
  <c r="H19" i="3"/>
  <c r="L18" i="3"/>
  <c r="J18" i="3"/>
  <c r="H18" i="3"/>
  <c r="L17" i="3"/>
  <c r="J17" i="3"/>
  <c r="H17" i="3"/>
  <c r="L16" i="3"/>
  <c r="J16" i="3"/>
  <c r="H16" i="3"/>
  <c r="L15" i="3"/>
  <c r="J15" i="3"/>
  <c r="H15" i="3"/>
  <c r="K15" i="3" s="1"/>
  <c r="L14" i="3"/>
  <c r="J14" i="3"/>
  <c r="H14" i="3"/>
  <c r="L13" i="3"/>
  <c r="J13" i="3"/>
  <c r="H13" i="3"/>
  <c r="K13" i="3" s="1"/>
  <c r="L12" i="3"/>
  <c r="J12" i="3"/>
  <c r="H12" i="3"/>
  <c r="K17" i="3" l="1"/>
  <c r="K76" i="3"/>
  <c r="K18" i="3"/>
  <c r="K27" i="3"/>
  <c r="K32" i="3"/>
  <c r="K36" i="3"/>
  <c r="K40" i="3"/>
  <c r="K58" i="3"/>
  <c r="K59" i="3"/>
  <c r="K64" i="3"/>
  <c r="K69" i="3"/>
  <c r="K71" i="3"/>
  <c r="K73" i="3"/>
  <c r="K74" i="3"/>
  <c r="K33" i="3"/>
  <c r="K72" i="3"/>
  <c r="K34" i="3"/>
  <c r="K79" i="3"/>
  <c r="K87" i="3"/>
  <c r="K41" i="3"/>
  <c r="K45" i="3"/>
  <c r="K66" i="3"/>
  <c r="L108" i="4"/>
  <c r="L120" i="4"/>
  <c r="L132" i="4"/>
  <c r="L144" i="4"/>
  <c r="L168" i="4"/>
  <c r="L180" i="4"/>
  <c r="L192" i="4"/>
  <c r="L204" i="4"/>
  <c r="K19" i="3"/>
  <c r="K77" i="3"/>
  <c r="L219" i="4"/>
  <c r="L246" i="4"/>
  <c r="K16" i="3"/>
  <c r="K39" i="3"/>
  <c r="K67" i="3"/>
  <c r="K51" i="3"/>
  <c r="K20" i="3"/>
  <c r="K35" i="3"/>
  <c r="K57" i="3"/>
  <c r="K70" i="3"/>
  <c r="K14" i="3"/>
  <c r="K37" i="3"/>
  <c r="K62" i="3"/>
  <c r="H91" i="3"/>
  <c r="H92" i="3" s="1"/>
  <c r="K92" i="3" s="1"/>
  <c r="K31" i="3"/>
  <c r="K85" i="3"/>
  <c r="L223" i="4"/>
  <c r="L231" i="4"/>
  <c r="J94" i="3"/>
  <c r="K25" i="3"/>
  <c r="K44" i="3"/>
  <c r="K52" i="3"/>
  <c r="K54" i="3"/>
  <c r="K61" i="3"/>
  <c r="K22" i="3"/>
  <c r="K30" i="3"/>
  <c r="K78" i="3"/>
  <c r="K83" i="3"/>
  <c r="K86" i="3"/>
  <c r="L103" i="4"/>
  <c r="L111" i="4"/>
  <c r="L119" i="4"/>
  <c r="L127" i="4"/>
  <c r="L135" i="4"/>
  <c r="L143" i="4"/>
  <c r="L151" i="4"/>
  <c r="L159" i="4"/>
  <c r="L167" i="4"/>
  <c r="L175" i="4"/>
  <c r="L183" i="4"/>
  <c r="L191" i="4"/>
  <c r="L199" i="4"/>
  <c r="L207" i="4"/>
  <c r="L156" i="4"/>
  <c r="L217" i="4"/>
  <c r="L225" i="4"/>
  <c r="L233" i="4"/>
  <c r="L201" i="4"/>
  <c r="L221" i="4"/>
  <c r="L229" i="4"/>
  <c r="L209" i="4"/>
  <c r="L220" i="4"/>
  <c r="L228" i="4"/>
  <c r="L216" i="4"/>
  <c r="L224" i="4"/>
  <c r="L232" i="4"/>
  <c r="L226" i="4"/>
  <c r="J236" i="4"/>
  <c r="L93" i="4"/>
  <c r="L77" i="4"/>
  <c r="H286" i="4"/>
  <c r="L286" i="4" s="1"/>
  <c r="J41" i="4"/>
  <c r="H291" i="4"/>
  <c r="L291" i="4" s="1"/>
  <c r="H301" i="4"/>
  <c r="L301" i="4" s="1"/>
  <c r="L91" i="4"/>
  <c r="H305" i="4"/>
  <c r="L305" i="4" s="1"/>
  <c r="H311" i="4"/>
  <c r="L311" i="4" s="1"/>
  <c r="L95" i="4"/>
  <c r="H241" i="4"/>
  <c r="L241" i="4" s="1"/>
  <c r="K241" i="4"/>
  <c r="K264" i="4"/>
  <c r="H264" i="4"/>
  <c r="L264" i="4" s="1"/>
  <c r="K296" i="4"/>
  <c r="H296" i="4"/>
  <c r="L296" i="4" s="1"/>
  <c r="K242" i="4"/>
  <c r="H242" i="4"/>
  <c r="L242" i="4" s="1"/>
  <c r="L250" i="4"/>
  <c r="K257" i="4"/>
  <c r="H257" i="4"/>
  <c r="L257" i="4" s="1"/>
  <c r="H265" i="4"/>
  <c r="L265" i="4" s="1"/>
  <c r="K265" i="4"/>
  <c r="H243" i="4"/>
  <c r="L243" i="4" s="1"/>
  <c r="K243" i="4"/>
  <c r="K266" i="4"/>
  <c r="H266" i="4"/>
  <c r="L266" i="4" s="1"/>
  <c r="K290" i="4"/>
  <c r="H290" i="4"/>
  <c r="L290" i="4" s="1"/>
  <c r="H298" i="4"/>
  <c r="L298" i="4" s="1"/>
  <c r="K298" i="4"/>
  <c r="K245" i="4"/>
  <c r="H245" i="4"/>
  <c r="L245" i="4" s="1"/>
  <c r="K276" i="4"/>
  <c r="H276" i="4"/>
  <c r="L276" i="4" s="1"/>
  <c r="L129" i="4"/>
  <c r="L153" i="4"/>
  <c r="L185" i="4"/>
  <c r="L106" i="4"/>
  <c r="L114" i="4"/>
  <c r="L122" i="4"/>
  <c r="L130" i="4"/>
  <c r="L138" i="4"/>
  <c r="L146" i="4"/>
  <c r="L154" i="4"/>
  <c r="L162" i="4"/>
  <c r="L170" i="4"/>
  <c r="L178" i="4"/>
  <c r="L186" i="4"/>
  <c r="L194" i="4"/>
  <c r="L202" i="4"/>
  <c r="L210" i="4"/>
  <c r="H255" i="4"/>
  <c r="L255" i="4" s="1"/>
  <c r="H278" i="4"/>
  <c r="L278" i="4" s="1"/>
  <c r="H299" i="4"/>
  <c r="L299" i="4" s="1"/>
  <c r="H310" i="4"/>
  <c r="L310" i="4" s="1"/>
  <c r="L240" i="4"/>
  <c r="K246" i="4"/>
  <c r="L258" i="4"/>
  <c r="L261" i="4"/>
  <c r="L270" i="4"/>
  <c r="L277" i="4"/>
  <c r="L284" i="4"/>
  <c r="K289" i="4"/>
  <c r="K292" i="4"/>
  <c r="K304" i="4"/>
  <c r="L113" i="4"/>
  <c r="L177" i="4"/>
  <c r="H238" i="4"/>
  <c r="L238" i="4" s="1"/>
  <c r="H256" i="4"/>
  <c r="L256" i="4" s="1"/>
  <c r="H279" i="4"/>
  <c r="L279" i="4" s="1"/>
  <c r="K240" i="4"/>
  <c r="K258" i="4"/>
  <c r="K261" i="4"/>
  <c r="K270" i="4"/>
  <c r="K277" i="4"/>
  <c r="K284" i="4"/>
  <c r="L297" i="4"/>
  <c r="L85" i="4"/>
  <c r="H239" i="4"/>
  <c r="L239" i="4" s="1"/>
  <c r="H247" i="4"/>
  <c r="L247" i="4" s="1"/>
  <c r="H282" i="4"/>
  <c r="L282" i="4" s="1"/>
  <c r="H302" i="4"/>
  <c r="L302" i="4" s="1"/>
  <c r="H312" i="4"/>
  <c r="L312" i="4" s="1"/>
  <c r="L244" i="4"/>
  <c r="L262" i="4"/>
  <c r="K297" i="4"/>
  <c r="L78" i="4"/>
  <c r="L145" i="4"/>
  <c r="L109" i="4"/>
  <c r="L125" i="4"/>
  <c r="L133" i="4"/>
  <c r="L141" i="4"/>
  <c r="L149" i="4"/>
  <c r="L157" i="4"/>
  <c r="L165" i="4"/>
  <c r="L173" i="4"/>
  <c r="L181" i="4"/>
  <c r="L189" i="4"/>
  <c r="L197" i="4"/>
  <c r="L205" i="4"/>
  <c r="L214" i="4"/>
  <c r="L222" i="4"/>
  <c r="L230" i="4"/>
  <c r="H248" i="4"/>
  <c r="L248" i="4" s="1"/>
  <c r="H267" i="4"/>
  <c r="L267" i="4" s="1"/>
  <c r="H283" i="4"/>
  <c r="L283" i="4" s="1"/>
  <c r="H294" i="4"/>
  <c r="L294" i="4" s="1"/>
  <c r="H303" i="4"/>
  <c r="L303" i="4" s="1"/>
  <c r="K244" i="4"/>
  <c r="K259" i="4"/>
  <c r="K262" i="4"/>
  <c r="L88" i="4"/>
  <c r="L105" i="4"/>
  <c r="L137" i="4"/>
  <c r="L161" i="4"/>
  <c r="L193" i="4"/>
  <c r="L55" i="4"/>
  <c r="L117" i="4"/>
  <c r="L102" i="4"/>
  <c r="L110" i="4"/>
  <c r="L118" i="4"/>
  <c r="L126" i="4"/>
  <c r="L134" i="4"/>
  <c r="L142" i="4"/>
  <c r="L150" i="4"/>
  <c r="L158" i="4"/>
  <c r="L166" i="4"/>
  <c r="L174" i="4"/>
  <c r="L182" i="4"/>
  <c r="L190" i="4"/>
  <c r="L198" i="4"/>
  <c r="L206" i="4"/>
  <c r="L49" i="4"/>
  <c r="H269" i="4"/>
  <c r="L269" i="4" s="1"/>
  <c r="H295" i="4"/>
  <c r="L295" i="4" s="1"/>
  <c r="L251" i="4"/>
  <c r="K307" i="4"/>
  <c r="H260" i="4"/>
  <c r="L260" i="4" s="1"/>
  <c r="K251" i="4"/>
  <c r="H287" i="4"/>
  <c r="L287" i="4" s="1"/>
  <c r="L121" i="4"/>
  <c r="L169" i="4"/>
  <c r="H252" i="4"/>
  <c r="L252" i="4" s="1"/>
  <c r="H308" i="4"/>
  <c r="L308" i="4" s="1"/>
  <c r="L304" i="4"/>
  <c r="H280" i="4"/>
  <c r="L215" i="4"/>
  <c r="L218" i="4"/>
  <c r="J213" i="4"/>
  <c r="H213" i="4"/>
  <c r="K43" i="4"/>
  <c r="H43" i="4"/>
  <c r="K51" i="4"/>
  <c r="L56" i="4"/>
  <c r="L79" i="4"/>
  <c r="L84" i="4"/>
  <c r="K71" i="4"/>
  <c r="K44" i="4"/>
  <c r="H44" i="4"/>
  <c r="L44" i="4" s="1"/>
  <c r="L54" i="4"/>
  <c r="L81" i="4"/>
  <c r="K63" i="4"/>
  <c r="L63" i="4" s="1"/>
  <c r="N63" i="4" s="1"/>
  <c r="K87" i="4"/>
  <c r="L52" i="4"/>
  <c r="K66" i="4"/>
  <c r="L66" i="4" s="1"/>
  <c r="K47" i="4"/>
  <c r="K95" i="4"/>
  <c r="L83" i="4"/>
  <c r="L87" i="4"/>
  <c r="L50" i="4"/>
  <c r="L92" i="4"/>
  <c r="K56" i="4"/>
  <c r="K74" i="4"/>
  <c r="H62" i="4"/>
  <c r="K62" i="4"/>
  <c r="L62" i="4" s="1"/>
  <c r="H97" i="4"/>
  <c r="L97" i="4" s="1"/>
  <c r="K97" i="4"/>
  <c r="H90" i="4"/>
  <c r="L90" i="4" s="1"/>
  <c r="K90" i="4"/>
  <c r="H67" i="4"/>
  <c r="K67" i="4"/>
  <c r="L67" i="4" s="1"/>
  <c r="H82" i="4"/>
  <c r="L82" i="4" s="1"/>
  <c r="K82" i="4"/>
  <c r="H46" i="4"/>
  <c r="L46" i="4" s="1"/>
  <c r="K46" i="4"/>
  <c r="H68" i="4"/>
  <c r="K68" i="4"/>
  <c r="L68" i="4" s="1"/>
  <c r="L57" i="4"/>
  <c r="H60" i="4"/>
  <c r="N60" i="4" s="1"/>
  <c r="L73" i="4"/>
  <c r="H80" i="4"/>
  <c r="L80" i="4" s="1"/>
  <c r="N80" i="4" s="1"/>
  <c r="L94" i="4"/>
  <c r="K52" i="4"/>
  <c r="K75" i="4"/>
  <c r="K83" i="4"/>
  <c r="K91" i="4"/>
  <c r="K84" i="4"/>
  <c r="K92" i="4"/>
  <c r="L58" i="4"/>
  <c r="L70" i="4"/>
  <c r="L74" i="4"/>
  <c r="K45" i="4"/>
  <c r="K54" i="4"/>
  <c r="K61" i="4"/>
  <c r="L61" i="4" s="1"/>
  <c r="K77" i="4"/>
  <c r="K85" i="4"/>
  <c r="K93" i="4"/>
  <c r="L71" i="4"/>
  <c r="L75" i="4"/>
  <c r="K55" i="4"/>
  <c r="K70" i="4"/>
  <c r="K78" i="4"/>
  <c r="K94" i="4"/>
  <c r="K79" i="4"/>
  <c r="L47" i="4"/>
  <c r="L51" i="4"/>
  <c r="K49" i="4"/>
  <c r="K57" i="4"/>
  <c r="K64" i="4"/>
  <c r="L64" i="4" s="1"/>
  <c r="K88" i="4"/>
  <c r="K50" i="4"/>
  <c r="K58" i="4"/>
  <c r="K65" i="4"/>
  <c r="L65" i="4" s="1"/>
  <c r="K73" i="4"/>
  <c r="K81" i="4"/>
  <c r="L45" i="4"/>
  <c r="K12" i="3"/>
  <c r="K94" i="3" l="1"/>
  <c r="N93" i="4"/>
  <c r="N79" i="4"/>
  <c r="N85" i="4"/>
  <c r="N82" i="4"/>
  <c r="N95" i="4"/>
  <c r="N91" i="4"/>
  <c r="N77" i="4"/>
  <c r="N84" i="4"/>
  <c r="J99" i="4"/>
  <c r="N71" i="4"/>
  <c r="N55" i="4"/>
  <c r="N49" i="4"/>
  <c r="N83" i="4"/>
  <c r="N78" i="4"/>
  <c r="N73" i="4"/>
  <c r="N51" i="4"/>
  <c r="N65" i="4"/>
  <c r="N54" i="4"/>
  <c r="N56" i="4"/>
  <c r="N75" i="4"/>
  <c r="N88" i="4"/>
  <c r="H236" i="4"/>
  <c r="L43" i="4"/>
  <c r="L41" i="4" s="1"/>
  <c r="H41" i="4"/>
  <c r="L280" i="4"/>
  <c r="L236" i="4" s="1"/>
  <c r="L213" i="4"/>
  <c r="L99" i="4" s="1"/>
  <c r="H99" i="4"/>
  <c r="N50" i="4"/>
  <c r="N66" i="4"/>
  <c r="N52" i="4"/>
  <c r="N90" i="4"/>
  <c r="N44" i="4"/>
  <c r="N94" i="4"/>
  <c r="N87" i="4"/>
  <c r="N46" i="4"/>
  <c r="N74" i="4"/>
  <c r="N81" i="4"/>
  <c r="N97" i="4"/>
  <c r="N45" i="4"/>
  <c r="N47" i="4"/>
  <c r="N62" i="4"/>
  <c r="N58" i="4"/>
  <c r="N67" i="4"/>
  <c r="N64" i="4"/>
  <c r="N92" i="4"/>
  <c r="N68" i="4"/>
  <c r="N70" i="4"/>
  <c r="N57" i="4"/>
  <c r="N61" i="4"/>
  <c r="K95" i="3"/>
  <c r="K96" i="3" s="1"/>
  <c r="H94" i="3"/>
  <c r="L318" i="4" l="1"/>
  <c r="L320" i="4" s="1"/>
  <c r="N43" i="4"/>
  <c r="J144" i="2"/>
  <c r="H144" i="2"/>
  <c r="J143" i="2"/>
  <c r="H143" i="2"/>
  <c r="J142" i="2"/>
  <c r="H142" i="2"/>
  <c r="K142" i="2" s="1"/>
  <c r="J141" i="2"/>
  <c r="H141" i="2"/>
  <c r="J140" i="2"/>
  <c r="H140" i="2"/>
  <c r="J139" i="2"/>
  <c r="H139" i="2"/>
  <c r="J138" i="2"/>
  <c r="H138" i="2"/>
  <c r="J137" i="2"/>
  <c r="H137" i="2"/>
  <c r="J136" i="2"/>
  <c r="H136" i="2"/>
  <c r="J135" i="2"/>
  <c r="H135" i="2"/>
  <c r="J134" i="2"/>
  <c r="H134" i="2"/>
  <c r="K134" i="2" s="1"/>
  <c r="J133" i="2"/>
  <c r="K133" i="2" s="1"/>
  <c r="H133" i="2"/>
  <c r="J132" i="2"/>
  <c r="H132" i="2"/>
  <c r="J131" i="2"/>
  <c r="H131" i="2"/>
  <c r="J130" i="2"/>
  <c r="H130" i="2"/>
  <c r="K130" i="2" s="1"/>
  <c r="J129" i="2"/>
  <c r="J127" i="2"/>
  <c r="H127" i="2"/>
  <c r="J126" i="2"/>
  <c r="H126" i="2"/>
  <c r="J122" i="2"/>
  <c r="H122" i="2"/>
  <c r="K122" i="2" s="1"/>
  <c r="J121" i="2"/>
  <c r="H121" i="2"/>
  <c r="J119" i="2"/>
  <c r="H119" i="2"/>
  <c r="K119" i="2" s="1"/>
  <c r="J118" i="2"/>
  <c r="H118" i="2"/>
  <c r="J116" i="2"/>
  <c r="H116" i="2"/>
  <c r="J115" i="2"/>
  <c r="H115" i="2"/>
  <c r="J114" i="2"/>
  <c r="H114" i="2"/>
  <c r="K114" i="2" s="1"/>
  <c r="J112" i="2"/>
  <c r="H112" i="2"/>
  <c r="J111" i="2"/>
  <c r="H111" i="2"/>
  <c r="J110" i="2"/>
  <c r="H110" i="2"/>
  <c r="J108" i="2"/>
  <c r="H108" i="2"/>
  <c r="K108" i="2" s="1"/>
  <c r="J106" i="2"/>
  <c r="H106" i="2"/>
  <c r="J104" i="2"/>
  <c r="H104" i="2"/>
  <c r="J103" i="2"/>
  <c r="H103" i="2"/>
  <c r="J102" i="2"/>
  <c r="H102" i="2"/>
  <c r="K102" i="2" s="1"/>
  <c r="J101" i="2"/>
  <c r="H101" i="2"/>
  <c r="J99" i="2"/>
  <c r="H99" i="2"/>
  <c r="K99" i="2" s="1"/>
  <c r="J98" i="2"/>
  <c r="H98" i="2"/>
  <c r="J96" i="2"/>
  <c r="H96" i="2"/>
  <c r="K96" i="2" s="1"/>
  <c r="J95" i="2"/>
  <c r="H95" i="2"/>
  <c r="J94" i="2"/>
  <c r="H94" i="2"/>
  <c r="J92" i="2"/>
  <c r="H92" i="2"/>
  <c r="J91" i="2"/>
  <c r="H91" i="2"/>
  <c r="K91" i="2" s="1"/>
  <c r="J89" i="2"/>
  <c r="K89" i="2" s="1"/>
  <c r="H89" i="2"/>
  <c r="J88" i="2"/>
  <c r="H88" i="2"/>
  <c r="K88" i="2" s="1"/>
  <c r="J87" i="2"/>
  <c r="H87" i="2"/>
  <c r="J86" i="2"/>
  <c r="H86" i="2"/>
  <c r="K86" i="2" s="1"/>
  <c r="J85" i="2"/>
  <c r="H85" i="2"/>
  <c r="J84" i="2"/>
  <c r="H84" i="2"/>
  <c r="K84" i="2" s="1"/>
  <c r="J83" i="2"/>
  <c r="H83" i="2"/>
  <c r="J82" i="2"/>
  <c r="H82" i="2"/>
  <c r="J81" i="2"/>
  <c r="H81" i="2"/>
  <c r="J80" i="2"/>
  <c r="H80" i="2"/>
  <c r="K80" i="2" s="1"/>
  <c r="J79" i="2"/>
  <c r="H79" i="2"/>
  <c r="J78" i="2"/>
  <c r="H78" i="2"/>
  <c r="K78" i="2" s="1"/>
  <c r="J77" i="2"/>
  <c r="K77" i="2" s="1"/>
  <c r="H77" i="2"/>
  <c r="J76" i="2"/>
  <c r="H76" i="2"/>
  <c r="J75" i="2"/>
  <c r="H75" i="2"/>
  <c r="J73" i="2"/>
  <c r="H73" i="2"/>
  <c r="K73" i="2" s="1"/>
  <c r="J72" i="2"/>
  <c r="H72" i="2"/>
  <c r="J71" i="2"/>
  <c r="H71" i="2"/>
  <c r="J70" i="2"/>
  <c r="H70" i="2"/>
  <c r="E69" i="2"/>
  <c r="H69" i="2" s="1"/>
  <c r="J68" i="2"/>
  <c r="H68" i="2"/>
  <c r="K68" i="2" s="1"/>
  <c r="J67" i="2"/>
  <c r="H67" i="2"/>
  <c r="E66" i="2"/>
  <c r="J66" i="2" s="1"/>
  <c r="J65" i="2"/>
  <c r="H65" i="2"/>
  <c r="J64" i="2"/>
  <c r="H64" i="2"/>
  <c r="K64" i="2" s="1"/>
  <c r="E63" i="2"/>
  <c r="J63" i="2" s="1"/>
  <c r="J62" i="2"/>
  <c r="H62" i="2"/>
  <c r="J61" i="2"/>
  <c r="H61" i="2"/>
  <c r="J60" i="2"/>
  <c r="H60" i="2"/>
  <c r="J59" i="2"/>
  <c r="H59" i="2"/>
  <c r="J58" i="2"/>
  <c r="K58" i="2" s="1"/>
  <c r="H58" i="2"/>
  <c r="J56" i="2"/>
  <c r="H56" i="2"/>
  <c r="J55" i="2"/>
  <c r="H55" i="2"/>
  <c r="J53" i="2"/>
  <c r="H53" i="2"/>
  <c r="K53" i="2" s="1"/>
  <c r="J52" i="2"/>
  <c r="H52" i="2"/>
  <c r="J50" i="2"/>
  <c r="H50" i="2"/>
  <c r="J48" i="2"/>
  <c r="H48" i="2"/>
  <c r="J47" i="2"/>
  <c r="H47" i="2"/>
  <c r="J45" i="2"/>
  <c r="H45" i="2"/>
  <c r="J44" i="2"/>
  <c r="H44" i="2"/>
  <c r="J41" i="2"/>
  <c r="H41" i="2"/>
  <c r="J39" i="2"/>
  <c r="H39" i="2"/>
  <c r="J38" i="2"/>
  <c r="H38" i="2"/>
  <c r="J37" i="2"/>
  <c r="H37" i="2"/>
  <c r="J36" i="2"/>
  <c r="H36" i="2"/>
  <c r="J35" i="2"/>
  <c r="H35" i="2"/>
  <c r="K35" i="2" s="1"/>
  <c r="J31" i="2"/>
  <c r="H31" i="2"/>
  <c r="J30" i="2"/>
  <c r="H30" i="2"/>
  <c r="J28" i="2"/>
  <c r="H28" i="2"/>
  <c r="J27" i="2"/>
  <c r="H27" i="2"/>
  <c r="J25" i="2"/>
  <c r="H25" i="2"/>
  <c r="J24" i="2"/>
  <c r="H24" i="2"/>
  <c r="J23" i="2"/>
  <c r="H23" i="2"/>
  <c r="J22" i="2"/>
  <c r="H22" i="2"/>
  <c r="K22" i="2" s="1"/>
  <c r="J21" i="2"/>
  <c r="H21" i="2"/>
  <c r="J20" i="2"/>
  <c r="H20" i="2"/>
  <c r="J18" i="2"/>
  <c r="H18" i="2"/>
  <c r="J17" i="2"/>
  <c r="H17" i="2"/>
  <c r="J16" i="2"/>
  <c r="H16" i="2"/>
  <c r="J15" i="2"/>
  <c r="H15" i="2"/>
  <c r="J14" i="2"/>
  <c r="H14" i="2"/>
  <c r="J13" i="2"/>
  <c r="H13" i="2"/>
  <c r="K20" i="2" l="1"/>
  <c r="K37" i="2"/>
  <c r="K56" i="2"/>
  <c r="K14" i="2"/>
  <c r="K16" i="2"/>
  <c r="K21" i="2"/>
  <c r="K23" i="2"/>
  <c r="K25" i="2"/>
  <c r="K36" i="2"/>
  <c r="K38" i="2"/>
  <c r="K41" i="2"/>
  <c r="K45" i="2"/>
  <c r="K52" i="2"/>
  <c r="K60" i="2"/>
  <c r="K62" i="2"/>
  <c r="K135" i="2"/>
  <c r="K137" i="2"/>
  <c r="K141" i="2"/>
  <c r="K143" i="2"/>
  <c r="K65" i="2"/>
  <c r="K72" i="2"/>
  <c r="K79" i="2"/>
  <c r="K81" i="2"/>
  <c r="K92" i="2"/>
  <c r="K101" i="2"/>
  <c r="K103" i="2"/>
  <c r="K112" i="2"/>
  <c r="K121" i="2"/>
  <c r="K116" i="2"/>
  <c r="K127" i="2"/>
  <c r="K140" i="2"/>
  <c r="K85" i="2"/>
  <c r="K118" i="2"/>
  <c r="K67" i="2"/>
  <c r="K95" i="2"/>
  <c r="K44" i="2"/>
  <c r="K104" i="2"/>
  <c r="K82" i="2"/>
  <c r="K132" i="2"/>
  <c r="K31" i="2"/>
  <c r="K70" i="2"/>
  <c r="K83" i="2"/>
  <c r="K98" i="2"/>
  <c r="K47" i="2"/>
  <c r="K15" i="2"/>
  <c r="K28" i="2"/>
  <c r="K39" i="2"/>
  <c r="K61" i="2"/>
  <c r="K87" i="2"/>
  <c r="K111" i="2"/>
  <c r="K115" i="2"/>
  <c r="K136" i="2"/>
  <c r="K24" i="2"/>
  <c r="H66" i="2"/>
  <c r="K66" i="2" s="1"/>
  <c r="K106" i="2"/>
  <c r="K144" i="2"/>
  <c r="K30" i="2"/>
  <c r="K48" i="2"/>
  <c r="K59" i="2"/>
  <c r="K17" i="2"/>
  <c r="K55" i="2"/>
  <c r="K71" i="2"/>
  <c r="K75" i="2"/>
  <c r="K94" i="2"/>
  <c r="K131" i="2"/>
  <c r="K138" i="2"/>
  <c r="K18" i="2"/>
  <c r="K27" i="2"/>
  <c r="K50" i="2"/>
  <c r="K76" i="2"/>
  <c r="K110" i="2"/>
  <c r="K139" i="2"/>
  <c r="J124" i="2"/>
  <c r="J10" i="2"/>
  <c r="K126" i="2"/>
  <c r="K13" i="2"/>
  <c r="J69" i="2"/>
  <c r="K69" i="2" s="1"/>
  <c r="H63" i="2"/>
  <c r="K63" i="2" s="1"/>
  <c r="H129" i="2"/>
  <c r="K129" i="2" s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12" i="1"/>
  <c r="H10" i="2" l="1"/>
  <c r="K10" i="2"/>
  <c r="J147" i="2"/>
  <c r="H124" i="2"/>
  <c r="K124" i="2"/>
  <c r="K147" i="2" s="1"/>
  <c r="G23" i="1"/>
  <c r="G31" i="1"/>
  <c r="G37" i="1"/>
  <c r="G40" i="1"/>
  <c r="G47" i="1"/>
  <c r="G48" i="1"/>
  <c r="G50" i="1"/>
  <c r="G55" i="1"/>
  <c r="G57" i="1"/>
  <c r="G12" i="1"/>
  <c r="G13" i="1"/>
  <c r="G14" i="1"/>
  <c r="G15" i="1"/>
  <c r="G16" i="1"/>
  <c r="G18" i="1"/>
  <c r="G19" i="1"/>
  <c r="G20" i="1"/>
  <c r="G21" i="1"/>
  <c r="G24" i="1"/>
  <c r="G25" i="1"/>
  <c r="G26" i="1"/>
  <c r="G27" i="1"/>
  <c r="G30" i="1"/>
  <c r="G32" i="1"/>
  <c r="G33" i="1"/>
  <c r="G34" i="1"/>
  <c r="G35" i="1"/>
  <c r="G36" i="1"/>
  <c r="G38" i="1"/>
  <c r="G41" i="1"/>
  <c r="G43" i="1"/>
  <c r="G44" i="1"/>
  <c r="G45" i="1"/>
  <c r="G49" i="1"/>
  <c r="G51" i="1"/>
  <c r="G52" i="1"/>
  <c r="G53" i="1"/>
  <c r="G54" i="1"/>
  <c r="G58" i="1"/>
  <c r="G60" i="1"/>
  <c r="G61" i="1"/>
  <c r="G62" i="1"/>
  <c r="G63" i="1"/>
  <c r="G64" i="1"/>
  <c r="G65" i="1"/>
  <c r="G67" i="1"/>
  <c r="G68" i="1"/>
  <c r="H147" i="2" l="1"/>
  <c r="K148" i="2"/>
  <c r="K149" i="2" s="1"/>
  <c r="J18" i="1"/>
  <c r="J19" i="1"/>
  <c r="J20" i="1"/>
  <c r="J21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40" i="1"/>
  <c r="J41" i="1"/>
  <c r="J43" i="1"/>
  <c r="J44" i="1"/>
  <c r="J45" i="1"/>
  <c r="J47" i="1"/>
  <c r="J48" i="1"/>
  <c r="J49" i="1"/>
  <c r="J50" i="1"/>
  <c r="J51" i="1"/>
  <c r="J52" i="1"/>
  <c r="J53" i="1"/>
  <c r="J54" i="1"/>
  <c r="J55" i="1"/>
  <c r="J57" i="1"/>
  <c r="J58" i="1"/>
  <c r="J60" i="1"/>
  <c r="J61" i="1"/>
  <c r="J62" i="1"/>
  <c r="J63" i="1"/>
  <c r="J64" i="1"/>
  <c r="J65" i="1"/>
  <c r="J67" i="1"/>
  <c r="J68" i="1"/>
  <c r="H18" i="1"/>
  <c r="H19" i="1"/>
  <c r="H20" i="1"/>
  <c r="H21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8" i="1"/>
  <c r="H40" i="1"/>
  <c r="H41" i="1"/>
  <c r="H43" i="1"/>
  <c r="H44" i="1"/>
  <c r="H45" i="1"/>
  <c r="H47" i="1"/>
  <c r="H48" i="1"/>
  <c r="H49" i="1"/>
  <c r="H50" i="1"/>
  <c r="H51" i="1"/>
  <c r="H52" i="1"/>
  <c r="H53" i="1"/>
  <c r="H54" i="1"/>
  <c r="H55" i="1"/>
  <c r="H57" i="1"/>
  <c r="H58" i="1"/>
  <c r="H60" i="1"/>
  <c r="H61" i="1"/>
  <c r="H62" i="1"/>
  <c r="H63" i="1"/>
  <c r="H64" i="1"/>
  <c r="H65" i="1"/>
  <c r="H67" i="1"/>
  <c r="H68" i="1"/>
  <c r="J13" i="1"/>
  <c r="J14" i="1"/>
  <c r="J15" i="1"/>
  <c r="J16" i="1"/>
  <c r="H13" i="1"/>
  <c r="H14" i="1"/>
  <c r="H15" i="1"/>
  <c r="H16" i="1"/>
  <c r="J12" i="1"/>
  <c r="H12" i="1"/>
  <c r="K65" i="1" l="1"/>
  <c r="K50" i="1"/>
  <c r="K40" i="1"/>
  <c r="K31" i="1"/>
  <c r="K15" i="1"/>
  <c r="K67" i="1"/>
  <c r="K51" i="1"/>
  <c r="K41" i="1"/>
  <c r="K32" i="1"/>
  <c r="K23" i="1"/>
  <c r="K13" i="1"/>
  <c r="K21" i="1"/>
  <c r="K58" i="1"/>
  <c r="K49" i="1"/>
  <c r="K20" i="1"/>
  <c r="K38" i="1"/>
  <c r="K61" i="1"/>
  <c r="K54" i="1"/>
  <c r="K45" i="1"/>
  <c r="K35" i="1"/>
  <c r="K26" i="1"/>
  <c r="K64" i="1"/>
  <c r="K30" i="1"/>
  <c r="K62" i="1"/>
  <c r="K55" i="1"/>
  <c r="K47" i="1"/>
  <c r="K36" i="1"/>
  <c r="K27" i="1"/>
  <c r="K18" i="1"/>
  <c r="K16" i="1"/>
  <c r="K68" i="1"/>
  <c r="K52" i="1"/>
  <c r="K43" i="1"/>
  <c r="K33" i="1"/>
  <c r="K24" i="1"/>
  <c r="K12" i="1"/>
  <c r="K63" i="1"/>
  <c r="K57" i="1"/>
  <c r="K48" i="1"/>
  <c r="K37" i="1"/>
  <c r="K29" i="1"/>
  <c r="K60" i="1"/>
  <c r="K53" i="1"/>
  <c r="K34" i="1"/>
  <c r="K25" i="1"/>
  <c r="K14" i="1"/>
  <c r="K19" i="1"/>
  <c r="J10" i="1"/>
  <c r="K44" i="1"/>
  <c r="H10" i="1"/>
  <c r="J70" i="1" l="1"/>
  <c r="H70" i="1"/>
  <c r="K10" i="1"/>
  <c r="K70" i="1" s="1"/>
  <c r="K71" i="1" l="1"/>
  <c r="K72" i="1" s="1"/>
  <c r="G78" i="6" l="1"/>
</calcChain>
</file>

<file path=xl/sharedStrings.xml><?xml version="1.0" encoding="utf-8"?>
<sst xmlns="http://schemas.openxmlformats.org/spreadsheetml/2006/main" count="4795" uniqueCount="1642">
  <si>
    <t>HONGSA POWER COMPANY</t>
  </si>
  <si>
    <t>PROJECT :</t>
  </si>
  <si>
    <t xml:space="preserve">Construction New NaNongKham Accommodation </t>
  </si>
  <si>
    <t xml:space="preserve">LOCATION: </t>
  </si>
  <si>
    <t>HONGSA DISTRICT  LAO PDR.</t>
  </si>
  <si>
    <t>SUMMARY OF CONSTRUCTION</t>
  </si>
  <si>
    <t>ITEM</t>
  </si>
  <si>
    <t>DESCRIPTION</t>
  </si>
  <si>
    <t xml:space="preserve">QTY. </t>
  </si>
  <si>
    <t>UNIT</t>
  </si>
  <si>
    <t>MATERIAL</t>
  </si>
  <si>
    <t>LABOUR</t>
  </si>
  <si>
    <t>Unit Rate</t>
  </si>
  <si>
    <t>TOTAL</t>
  </si>
  <si>
    <t>(THB)</t>
  </si>
  <si>
    <t>Preliminary Work</t>
  </si>
  <si>
    <t>LS.</t>
  </si>
  <si>
    <t>Demolish and Clearing Work</t>
  </si>
  <si>
    <t>Building Sr.Officer Type</t>
  </si>
  <si>
    <t>Building</t>
  </si>
  <si>
    <t>Building Officer Type</t>
  </si>
  <si>
    <t>Main water supply and sewage systems</t>
  </si>
  <si>
    <t>Road Work, Fence and Drainage Systems</t>
  </si>
  <si>
    <t>Improvement Phonchan Water Treatment Plant</t>
  </si>
  <si>
    <t>CCTV Systems</t>
  </si>
  <si>
    <t>Artificial grass football field</t>
  </si>
  <si>
    <t>HV System, Transformer, Street lighting and outdoor lighting systems</t>
  </si>
  <si>
    <t>Fire Alarm Systems</t>
  </si>
  <si>
    <t>GYM</t>
  </si>
  <si>
    <t>PROFIT</t>
  </si>
  <si>
    <t>GRAND TOTAL (THB)</t>
  </si>
  <si>
    <t xml:space="preserve">Preliminary Work Construction NaNongKham Accommodation </t>
  </si>
  <si>
    <t>Item</t>
  </si>
  <si>
    <t>Description</t>
  </si>
  <si>
    <t>Unit</t>
  </si>
  <si>
    <t>Q'ty</t>
  </si>
  <si>
    <t>Price</t>
  </si>
  <si>
    <t>Amount</t>
  </si>
  <si>
    <t xml:space="preserve">Unit  </t>
  </si>
  <si>
    <t>THB.</t>
  </si>
  <si>
    <t>COMMON TEMPORARY WORK</t>
  </si>
  <si>
    <t>Temporary Electricity &amp; Water Work</t>
  </si>
  <si>
    <t>Running Cost of Electricity Charge</t>
  </si>
  <si>
    <t>Workshop and Office</t>
  </si>
  <si>
    <t>Months</t>
  </si>
  <si>
    <t>Camp</t>
  </si>
  <si>
    <t>Running Cost for Water Supply</t>
  </si>
  <si>
    <t>Office &amp; Camp</t>
  </si>
  <si>
    <t>Sub Total Item 1</t>
  </si>
  <si>
    <t>TRANSPORT PAKAGING</t>
  </si>
  <si>
    <t>Material</t>
  </si>
  <si>
    <t>Trip</t>
  </si>
  <si>
    <t>Equipment</t>
  </si>
  <si>
    <t>Sub Total Item 2</t>
  </si>
  <si>
    <t>TEMPORARY SKILLED WORKER</t>
  </si>
  <si>
    <t xml:space="preserve">Contract Period </t>
  </si>
  <si>
    <t>Management</t>
  </si>
  <si>
    <t>PM</t>
  </si>
  <si>
    <t>M-months</t>
  </si>
  <si>
    <t>PE</t>
  </si>
  <si>
    <t>Secretary</t>
  </si>
  <si>
    <t>Q.A / Q.C / Planning</t>
  </si>
  <si>
    <t>Safety Officer</t>
  </si>
  <si>
    <t>Cost, Q/S Engineer</t>
  </si>
  <si>
    <t>Technical</t>
  </si>
  <si>
    <t>1 - Head Section</t>
  </si>
  <si>
    <t>1 - Auto CAD</t>
  </si>
  <si>
    <t>1 - Surveyor Chief</t>
  </si>
  <si>
    <t>Construction Supervision</t>
  </si>
  <si>
    <t>1 - Civil Engineer - Sub Structure Works</t>
  </si>
  <si>
    <t>On-Site Administration</t>
  </si>
  <si>
    <t>Account Manager</t>
  </si>
  <si>
    <t>1 - Admin Staffs</t>
  </si>
  <si>
    <t>Store Chief</t>
  </si>
  <si>
    <t>4 - Admin. &amp; Store Keeper (Local)</t>
  </si>
  <si>
    <t>Operator (Local)</t>
  </si>
  <si>
    <t>1 - Mess (Local)</t>
  </si>
  <si>
    <t>3 - Driver (Local)</t>
  </si>
  <si>
    <t xml:space="preserve">Sub Total Item 3 </t>
  </si>
  <si>
    <t>SITE OFFICE EXPENSE</t>
  </si>
  <si>
    <t>Consumables and Supply</t>
  </si>
  <si>
    <t xml:space="preserve">Furniture for Office </t>
  </si>
  <si>
    <t>Stationeries / Consumables</t>
  </si>
  <si>
    <t>Xerox, Photo Expense</t>
  </si>
  <si>
    <t>Safety Precautions</t>
  </si>
  <si>
    <t xml:space="preserve">Personnel Safety Equipment </t>
  </si>
  <si>
    <t>Safety Signs</t>
  </si>
  <si>
    <t>Ea.</t>
  </si>
  <si>
    <t>Personnel Safety Equipment and On Site Provisions</t>
  </si>
  <si>
    <t>On-Site Transportation</t>
  </si>
  <si>
    <t>Pick Up</t>
  </si>
  <si>
    <t xml:space="preserve">Total </t>
  </si>
  <si>
    <t>GENERAL AND ADMINISTRATIVE COST</t>
  </si>
  <si>
    <t>Temporary Electric Work  (Camp worker)</t>
  </si>
  <si>
    <t>Temporary  Water Work (Camp worker)</t>
  </si>
  <si>
    <t>Contractor Yard and Office</t>
  </si>
  <si>
    <t>Office</t>
  </si>
  <si>
    <t>Sq.m.</t>
  </si>
  <si>
    <t>Store</t>
  </si>
  <si>
    <t>Workshop</t>
  </si>
  <si>
    <t xml:space="preserve">Staff Rooms </t>
  </si>
  <si>
    <t xml:space="preserve">Worker  Rooms </t>
  </si>
  <si>
    <t>Temporary Road , Fence and Gate</t>
  </si>
  <si>
    <t>Fence and Gate</t>
  </si>
  <si>
    <t>m</t>
  </si>
  <si>
    <t>GRAND TOTAL</t>
  </si>
  <si>
    <t>Bill Of Quantiy</t>
  </si>
  <si>
    <t xml:space="preserve">Construction EGAT O&amp;M Accommodation </t>
  </si>
  <si>
    <t>SUBMIT By.</t>
  </si>
  <si>
    <t>BUILDING TYPE :</t>
  </si>
  <si>
    <t>ROOM TYPE E</t>
  </si>
  <si>
    <t>APPROVED By.</t>
  </si>
  <si>
    <t>BAN CHAMPA, HONGSA DISTRICT. LAO</t>
  </si>
  <si>
    <t>DATE</t>
  </si>
  <si>
    <t>Master list</t>
  </si>
  <si>
    <t>COST</t>
  </si>
  <si>
    <t>%</t>
  </si>
  <si>
    <t>Structure Work</t>
  </si>
  <si>
    <t>Foundation and Structure Work</t>
  </si>
  <si>
    <t>1.1.1</t>
  </si>
  <si>
    <t>Preparation works, Clearing and Setting Out</t>
  </si>
  <si>
    <t>Sq.m</t>
  </si>
  <si>
    <t>1.1.2</t>
  </si>
  <si>
    <t>Excavation</t>
  </si>
  <si>
    <t>Cu.m</t>
  </si>
  <si>
    <t>1.1.3</t>
  </si>
  <si>
    <t>Back Fill</t>
  </si>
  <si>
    <t>1.1.4</t>
  </si>
  <si>
    <t>Sand Back Fill and Compacted</t>
  </si>
  <si>
    <t>1.1.5</t>
  </si>
  <si>
    <t xml:space="preserve">Lean Concrete </t>
  </si>
  <si>
    <t>1.1.6</t>
  </si>
  <si>
    <t>Concrete 240 Ksc. Cube (1:2:4)</t>
  </si>
  <si>
    <t>1.1.7</t>
  </si>
  <si>
    <t>Form Work</t>
  </si>
  <si>
    <t>1.1.8</t>
  </si>
  <si>
    <t>Reinforcement Bar</t>
  </si>
  <si>
    <t xml:space="preserve">  - RB9  (SD24) 0.499 kg/m</t>
  </si>
  <si>
    <t>Kg.</t>
  </si>
  <si>
    <t xml:space="preserve">  - DB12  (SD40) 0.898 kg/m</t>
  </si>
  <si>
    <t xml:space="preserve">  - DB16  (SD40) 1.58 kg/m</t>
  </si>
  <si>
    <t xml:space="preserve">  - DB20  (SD40) 2.47 kg/m</t>
  </si>
  <si>
    <t>1.1.9</t>
  </si>
  <si>
    <t>Wire (No.18)</t>
  </si>
  <si>
    <t>1.1.10</t>
  </si>
  <si>
    <t>Nail</t>
  </si>
  <si>
    <t>1.1.11</t>
  </si>
  <si>
    <t>Wire mash 4 mm. #0.20 m.</t>
  </si>
  <si>
    <t>1.1.12</t>
  </si>
  <si>
    <t>Wire mash 6 mm. #0.20 m.</t>
  </si>
  <si>
    <t>Solid Plank Slab 5 cm.THK. (250 KG./SQ.M.)</t>
  </si>
  <si>
    <t>Structural Steel</t>
  </si>
  <si>
    <t>1.3.1</t>
  </si>
  <si>
    <t xml:space="preserve">C 125x50x20x3.2 mm. (6.13 kg/m) </t>
  </si>
  <si>
    <t>1.3.2</t>
  </si>
  <si>
    <t>C-150x65x20x3.2 (7.51 kg/m)</t>
  </si>
  <si>
    <t>1.3.3</t>
  </si>
  <si>
    <t>C-100x50x3.2mm. (5.5kg./m)</t>
  </si>
  <si>
    <t>1.3.4</t>
  </si>
  <si>
    <t xml:space="preserve">SQUARE TUBE[/]100x100x4 mm. (11.73 kg/m.) </t>
  </si>
  <si>
    <t>1.3.5</t>
  </si>
  <si>
    <t xml:space="preserve">SQUARE TUBE[/]150x150x4.5 mm. (20.15 kg/m.) </t>
  </si>
  <si>
    <t>1.3.6</t>
  </si>
  <si>
    <r>
      <t xml:space="preserve">Anti Rust Coating </t>
    </r>
    <r>
      <rPr>
        <b/>
        <sz val="14"/>
        <rFont val="Calibri"/>
        <family val="2"/>
        <scheme val="minor"/>
      </rPr>
      <t xml:space="preserve"> (White Color, TOA or Equal)</t>
    </r>
  </si>
  <si>
    <t>1.3.7</t>
  </si>
  <si>
    <r>
      <t xml:space="preserve">Anti Rust Coating and Top Coating  </t>
    </r>
    <r>
      <rPr>
        <b/>
        <sz val="14"/>
        <rFont val="Calibri"/>
        <family val="2"/>
        <scheme val="minor"/>
      </rPr>
      <t>(White Color, TOA or Equal)</t>
    </r>
  </si>
  <si>
    <t>1.3.8</t>
  </si>
  <si>
    <t>Steel Plate 200x200x6mm. With dowel bar</t>
  </si>
  <si>
    <t>no</t>
  </si>
  <si>
    <t>1.3.9</t>
  </si>
  <si>
    <t>Consume Material</t>
  </si>
  <si>
    <t>Ls</t>
  </si>
  <si>
    <t>Other (IF)</t>
  </si>
  <si>
    <t>Architecturl Work</t>
  </si>
  <si>
    <t xml:space="preserve">Wall </t>
  </si>
  <si>
    <t>2.1.1</t>
  </si>
  <si>
    <t xml:space="preserve">7 CM. Cement Block Wall </t>
  </si>
  <si>
    <t>2.1.2</t>
  </si>
  <si>
    <t>1.5 CM. PLASTERING</t>
  </si>
  <si>
    <t>2.1.3</t>
  </si>
  <si>
    <r>
      <t xml:space="preserve">Ceramic Tile 200x250mm. </t>
    </r>
    <r>
      <rPr>
        <b/>
        <sz val="14"/>
        <rFont val="Calibri"/>
        <family val="2"/>
        <scheme val="minor"/>
      </rPr>
      <t>(White Color, Duragres) (Toilet)</t>
    </r>
  </si>
  <si>
    <t>2.1.4</t>
  </si>
  <si>
    <t>Fiber Cement Board Wall</t>
  </si>
  <si>
    <t>2.1.5</t>
  </si>
  <si>
    <r>
      <t xml:space="preserve">0.07x0.10 M.Lintel </t>
    </r>
    <r>
      <rPr>
        <b/>
        <sz val="14"/>
        <rFont val="Calibri"/>
        <family val="2"/>
        <scheme val="minor"/>
      </rPr>
      <t>(Material Include Structure Item)</t>
    </r>
  </si>
  <si>
    <t>m.</t>
  </si>
  <si>
    <t>Floor</t>
  </si>
  <si>
    <t>2.2.1</t>
  </si>
  <si>
    <r>
      <t xml:space="preserve">F1 Ceramic Tile 300x300 mm. </t>
    </r>
    <r>
      <rPr>
        <b/>
        <sz val="14"/>
        <rFont val="Calibri"/>
        <family val="2"/>
        <scheme val="minor"/>
      </rPr>
      <t>(NON SLIP White Color, COTTO)</t>
    </r>
  </si>
  <si>
    <t>2.2.2</t>
  </si>
  <si>
    <r>
      <t>F2 Ceramic Tile 200x200mm.</t>
    </r>
    <r>
      <rPr>
        <b/>
        <sz val="14"/>
        <rFont val="Calibri"/>
        <family val="2"/>
        <scheme val="minor"/>
      </rPr>
      <t>(NON SLIP)</t>
    </r>
  </si>
  <si>
    <t>2.2.3</t>
  </si>
  <si>
    <t>F3 Steel Trowel Finish</t>
  </si>
  <si>
    <t>2.2.4</t>
  </si>
  <si>
    <t>F4 Rough Surface</t>
  </si>
  <si>
    <t>Ceiling</t>
  </si>
  <si>
    <t>2.3.1</t>
  </si>
  <si>
    <r>
      <t xml:space="preserve">C1; T-Bar, Gypsum Board 6 mm. </t>
    </r>
    <r>
      <rPr>
        <b/>
        <sz val="14"/>
        <rFont val="Calibri"/>
        <family val="2"/>
        <scheme val="minor"/>
      </rPr>
      <t>(Elephant Brand)</t>
    </r>
  </si>
  <si>
    <t>2.3.2</t>
  </si>
  <si>
    <r>
      <t xml:space="preserve">C2; T-Bar, Gypsum Board 6 mm. Moisturized Resistance </t>
    </r>
    <r>
      <rPr>
        <b/>
        <sz val="14"/>
        <rFont val="Calibri"/>
        <family val="2"/>
        <scheme val="minor"/>
      </rPr>
      <t>(Elephant Brand)</t>
    </r>
  </si>
  <si>
    <t>2.3.3</t>
  </si>
  <si>
    <t>C3; T-Bar, Gypsum Board 6 mm. (Elephant Brand)</t>
  </si>
  <si>
    <t>2.3.4</t>
  </si>
  <si>
    <r>
      <t xml:space="preserve">C4; Smart Board 4 mm. Striped With Frame GALV.Steel 0.55 mm.thk.. </t>
    </r>
    <r>
      <rPr>
        <b/>
        <sz val="14"/>
        <rFont val="Calibri"/>
        <family val="2"/>
        <scheme val="minor"/>
      </rPr>
      <t>(Elephant Brand)</t>
    </r>
  </si>
  <si>
    <t>2.3.5</t>
  </si>
  <si>
    <r>
      <t xml:space="preserve">C5; Ventilate Smart Board 4 mm. Striped With Frame GALV.Steel 0.55 mm.thk.. </t>
    </r>
    <r>
      <rPr>
        <b/>
        <sz val="14"/>
        <rFont val="Calibri"/>
        <family val="2"/>
        <scheme val="minor"/>
      </rPr>
      <t>(Elephant Brand)</t>
    </r>
  </si>
  <si>
    <t>Roofing</t>
  </si>
  <si>
    <t>2.4.1</t>
  </si>
  <si>
    <r>
      <t xml:space="preserve">Roman Tile 50x120x0.55 cm. Include insulation sheet </t>
    </r>
    <r>
      <rPr>
        <b/>
        <sz val="14"/>
        <rFont val="Calibri"/>
        <family val="2"/>
        <scheme val="minor"/>
      </rPr>
      <t>(Brown Color Elephant Brand)</t>
    </r>
  </si>
  <si>
    <t>2.4.2</t>
  </si>
  <si>
    <r>
      <t xml:space="preserve">CPAC Monier Round Ridge 3.3 PCS/m  </t>
    </r>
    <r>
      <rPr>
        <b/>
        <sz val="14"/>
        <rFont val="Calibri"/>
        <family val="2"/>
        <scheme val="minor"/>
      </rPr>
      <t>(Brown Color Elephant Brand)</t>
    </r>
  </si>
  <si>
    <t>Pcs.</t>
  </si>
  <si>
    <t>Inclued item 2.4.1</t>
  </si>
  <si>
    <t>2.4.3</t>
  </si>
  <si>
    <r>
      <t xml:space="preserve">CPAC Monier Round Hip Ridge 3.3 PCS/m  </t>
    </r>
    <r>
      <rPr>
        <b/>
        <sz val="14"/>
        <rFont val="Calibri"/>
        <family val="2"/>
        <scheme val="minor"/>
      </rPr>
      <t>(Brown Color Elephant Brand)</t>
    </r>
  </si>
  <si>
    <t>2.4.4</t>
  </si>
  <si>
    <r>
      <t xml:space="preserve">CPAC Monier Hip End. </t>
    </r>
    <r>
      <rPr>
        <b/>
        <sz val="14"/>
        <rFont val="Calibri"/>
        <family val="2"/>
        <scheme val="minor"/>
      </rPr>
      <t>(Elephant Brand, Brown Color)</t>
    </r>
  </si>
  <si>
    <t>2.4.5</t>
  </si>
  <si>
    <r>
      <t xml:space="preserve">CPAC Monier Ridge End. </t>
    </r>
    <r>
      <rPr>
        <b/>
        <sz val="14"/>
        <rFont val="Calibri"/>
        <family val="2"/>
        <scheme val="minor"/>
      </rPr>
      <t>(Elephant Brand, Brown Color)</t>
    </r>
  </si>
  <si>
    <t>2.4.6</t>
  </si>
  <si>
    <r>
      <t xml:space="preserve">CPAC Monier Barge. 3 PCS/m </t>
    </r>
    <r>
      <rPr>
        <b/>
        <sz val="14"/>
        <rFont val="Calibri"/>
        <family val="2"/>
        <scheme val="minor"/>
      </rPr>
      <t>(Elephant Brand, Brown Color)</t>
    </r>
  </si>
  <si>
    <t>2.4.7</t>
  </si>
  <si>
    <r>
      <t xml:space="preserve">Eave Filler Set 1EA. = 10 PCS. </t>
    </r>
    <r>
      <rPr>
        <b/>
        <sz val="14"/>
        <rFont val="Calibri"/>
        <family val="2"/>
        <scheme val="minor"/>
      </rPr>
      <t>(Elephant Brand)</t>
    </r>
  </si>
  <si>
    <t>EA.</t>
  </si>
  <si>
    <t>2.4.8</t>
  </si>
  <si>
    <t>Cilp Lock 20 cm. For Structure Steel C 150</t>
  </si>
  <si>
    <t>2.4.9</t>
  </si>
  <si>
    <t>Hook Bolt 6 in</t>
  </si>
  <si>
    <t>2.4.10</t>
  </si>
  <si>
    <t>EVEN and FASCIA</t>
  </si>
  <si>
    <t xml:space="preserve">  - Fiber Cement Board 20 cm.</t>
  </si>
  <si>
    <t xml:space="preserve">  - Fiber Cement Board 25 cm.</t>
  </si>
  <si>
    <t>2.4.11</t>
  </si>
  <si>
    <t>Rain water trough galvanized 15x30 cm.</t>
  </si>
  <si>
    <t xml:space="preserve">    -Rain water trough galvanized 15x30 cm. No 26</t>
  </si>
  <si>
    <t xml:space="preserve">    -Pipe galvanized dai. 10 cm.</t>
  </si>
  <si>
    <t xml:space="preserve">    -PVC Pipe dia. 4 in Class 8.5</t>
  </si>
  <si>
    <t>Door-Windows Included Hard Ware</t>
  </si>
  <si>
    <t>2.5.1</t>
  </si>
  <si>
    <t>D1  ALUMINIUM DOOR 2-80X200 CM.,SWING.  Included Equipment</t>
  </si>
  <si>
    <t>Set</t>
  </si>
  <si>
    <t>2.5.2</t>
  </si>
  <si>
    <t>D2 PLYWOOD DOOR 80x200 CM.  Included Equipment</t>
  </si>
  <si>
    <t>2.5.3</t>
  </si>
  <si>
    <t>D3  PVC DOOR 70x180 CM.  Included Equipment</t>
  </si>
  <si>
    <t>2.5.4</t>
  </si>
  <si>
    <t>D4  HARD WOOD DOOR 80x200 CM.  Included Equipment</t>
  </si>
  <si>
    <t>2.5.5</t>
  </si>
  <si>
    <t>D5  HARD WOOD DOOR 80x200 CM  Included Equipment</t>
  </si>
  <si>
    <t>2.5.6</t>
  </si>
  <si>
    <t>W1  Aluminum Sliding Window  120x110 cm. Clear Glass 6 mm. thk. Incloded Equipment, Mosquito wire screen</t>
  </si>
  <si>
    <t>2.5.7</t>
  </si>
  <si>
    <t>W2</t>
  </si>
  <si>
    <t>2.5.8</t>
  </si>
  <si>
    <t>W3</t>
  </si>
  <si>
    <t>2.5.9</t>
  </si>
  <si>
    <t xml:space="preserve">W4 </t>
  </si>
  <si>
    <t>2.5.10</t>
  </si>
  <si>
    <t>MOSQUITO WIRE SCREEN</t>
  </si>
  <si>
    <t xml:space="preserve">  -For D2</t>
  </si>
  <si>
    <t xml:space="preserve">  -For D4</t>
  </si>
  <si>
    <t>Paint</t>
  </si>
  <si>
    <t>2.6.1</t>
  </si>
  <si>
    <t xml:space="preserve"> W1: Acrylic Interior Paint (White Color, TOA or Equal)</t>
  </si>
  <si>
    <t>2.6.2</t>
  </si>
  <si>
    <t xml:space="preserve"> W1: Acrylic Exterior Paint (White Color, TOA or Equal)</t>
  </si>
  <si>
    <t>2.6.3</t>
  </si>
  <si>
    <t xml:space="preserve"> C3: Acrylic Interior Paint (White Color, TOA or Equal)</t>
  </si>
  <si>
    <t>2.6.4</t>
  </si>
  <si>
    <t xml:space="preserve"> C4: Acrylic Exterior Paint (White Color, TOA or Equal)</t>
  </si>
  <si>
    <t>2.6.5</t>
  </si>
  <si>
    <t xml:space="preserve"> C5: Acrylic Exterior Paint (White Color, TOA or Equal)</t>
  </si>
  <si>
    <t>2.6.6</t>
  </si>
  <si>
    <t>ENAMEL PAINT (Brown Color, TOA or Equal)</t>
  </si>
  <si>
    <t>Miscellaneous</t>
  </si>
  <si>
    <t>2.7.1</t>
  </si>
  <si>
    <t>Counter Concrete 0.60x0.80x2.00 m. (Included Ceramic Tile 0.20x0.20 m. and Hard ware)</t>
  </si>
  <si>
    <t>Ls.</t>
  </si>
  <si>
    <t xml:space="preserve">Electrical System </t>
  </si>
  <si>
    <t>Panel Board and Circuit Breaker</t>
  </si>
  <si>
    <t>3.1.1</t>
  </si>
  <si>
    <t>Load Panel : LP1</t>
  </si>
  <si>
    <t>-</t>
  </si>
  <si>
    <t xml:space="preserve">Panel 3 phase 4 wires 250 A, IC&gt;25 KA 42 ckt  </t>
  </si>
  <si>
    <t>set</t>
  </si>
  <si>
    <t>Main CB 250AT/250 AF, 3P IC&gt;25 KA</t>
  </si>
  <si>
    <t>CB 40AT, 1P, IC &gt; 6KA</t>
  </si>
  <si>
    <t>ea</t>
  </si>
  <si>
    <t>CB 32AT, 1P, IC &gt; 6KA</t>
  </si>
  <si>
    <t>CB 20AT, 1P, IC &gt; 6KA</t>
  </si>
  <si>
    <t>CB 16AT, 1P, IC &gt; 6KA</t>
  </si>
  <si>
    <t>3.1.2</t>
  </si>
  <si>
    <t>Customer Unit : CU</t>
  </si>
  <si>
    <t>Panel 1 phase 2 wires , IC&gt;10 KA 6 ckt  (คิดที่ 15%ของจำนวน 20)</t>
  </si>
  <si>
    <t>Panel 1 phase 2 wires , IC&gt;10 KA 6 ckt  (ค่าแรงติดตั้ง)</t>
  </si>
  <si>
    <t>Main CB 40AT, 2P IC &gt; 10 KA</t>
  </si>
  <si>
    <t>RCBO 32AT, 1P, 30 mA, IC &gt; 6KA</t>
  </si>
  <si>
    <t>3.1.3</t>
  </si>
  <si>
    <t>Junction Box</t>
  </si>
  <si>
    <t>Junction Box (wp)</t>
  </si>
  <si>
    <t>3.1.4</t>
  </si>
  <si>
    <t>Kilo Watt Hour Meter</t>
  </si>
  <si>
    <t>Kilo Watt Hour Meter 1 Phase 220 V 15/45A (คิดที่ 15%ของจำนวน 20)</t>
  </si>
  <si>
    <t>Kilo Watt Hour Meter 1 Phase 220 V 15/45A (ค่าแรงติดตั้ง)</t>
  </si>
  <si>
    <t>Cable &amp; Wire</t>
  </si>
  <si>
    <t>3.2.1</t>
  </si>
  <si>
    <t>IEC 01 THW, 450/750 V, 70 °C</t>
  </si>
  <si>
    <t>2.5 Sqmm,</t>
  </si>
  <si>
    <t>4 Sqmm.</t>
  </si>
  <si>
    <t>6 Sqmm,</t>
  </si>
  <si>
    <t>10 Sqmm.</t>
  </si>
  <si>
    <t>35 Sqmm.</t>
  </si>
  <si>
    <t>3.2.2</t>
  </si>
  <si>
    <t>FD-0.6/1KV-CV, 0.6/1KV, 90 °C</t>
  </si>
  <si>
    <t>120 Sqmm,</t>
  </si>
  <si>
    <t>Raceway</t>
  </si>
  <si>
    <t>3.3.1</t>
  </si>
  <si>
    <t>EMT Conduit</t>
  </si>
  <si>
    <t>1/2" EMT</t>
  </si>
  <si>
    <t>3/4" EMT</t>
  </si>
  <si>
    <t>3.3.2</t>
  </si>
  <si>
    <t>IMC Conduit</t>
  </si>
  <si>
    <t>2" IMC</t>
  </si>
  <si>
    <t>4" IMC</t>
  </si>
  <si>
    <t>3.3.3</t>
  </si>
  <si>
    <t>PVC Conduit</t>
  </si>
  <si>
    <t>1/2" PVC</t>
  </si>
  <si>
    <t>3.3.4</t>
  </si>
  <si>
    <t>Wire Way (Epoxy-Polyester powder paint thickness 2 mm. )</t>
  </si>
  <si>
    <t>100x100 mm.</t>
  </si>
  <si>
    <t>150x100 mm.</t>
  </si>
  <si>
    <t>3.3.5</t>
  </si>
  <si>
    <t>Flexible conduit</t>
  </si>
  <si>
    <t>3.3.6</t>
  </si>
  <si>
    <t>HDPE conduit</t>
  </si>
  <si>
    <t>2" HDPE</t>
  </si>
  <si>
    <t>4" HDPE</t>
  </si>
  <si>
    <t>3.3.7</t>
  </si>
  <si>
    <t>Man Hole</t>
  </si>
  <si>
    <t>Fitting &amp; Accessory</t>
  </si>
  <si>
    <t>lot</t>
  </si>
  <si>
    <t>Lighthing Fixture</t>
  </si>
  <si>
    <t>3.4.1</t>
  </si>
  <si>
    <t>Compact Fluorescent 2x26W, Acrylic or Glass cover (ทดแทน รุ่น EVE TH-LED Ceiling DOB 24W)(คิด15%)</t>
  </si>
  <si>
    <t>- Compact Fluorescent 2x26W, Acrylic or Glass cover (ค่าแรงติดตั้งโคมเก่า)</t>
  </si>
  <si>
    <t>- EVE lighting LED Ceiling Kit DOB Daylight 6,000K 24W      (เปลี่ยนหลอดใหม่ทั้งหมด)</t>
  </si>
  <si>
    <t>3.4.2</t>
  </si>
  <si>
    <t>Compact Fluorescent 1x18W, Acrylic or Glass cover (ทดแทน รุ่น EVE TH-LED Ceiling DOB 12W)</t>
  </si>
  <si>
    <t>- Compact Fluorescent 1x18W, Acrylic or Glass cover  (ค่าแรงติดตั้งโคมเก่า)</t>
  </si>
  <si>
    <t>- EVE lighting LED Ceiling Kit DOB Daylight 6,000K 12W      (เปลี่ยนหลอดใหม่ทั้งหมด)</t>
  </si>
  <si>
    <t>3.4.3</t>
  </si>
  <si>
    <t xml:space="preserve">Downlight, Compact Fluorescent 1x18W, Dia 6" </t>
  </si>
  <si>
    <t>- Downlight, Compact Fluorescent 1x18W, Dia 6"   (ค่าแรงติดตั้งโคมเก่า)</t>
  </si>
  <si>
    <t>- EVE lighting Compact Fluorescent Daylight E27, 18W       (เปลี่ยนหลอดใหม่ทั้งหมด)</t>
  </si>
  <si>
    <t>3.4.4</t>
  </si>
  <si>
    <t>Emergency Light, 12V-2.9AH 2*3Watts MODEL NAU 203 NC 5 LED, Operate time at leasr 2 Hrs</t>
  </si>
  <si>
    <t>3.4.5</t>
  </si>
  <si>
    <t>Exit Sign, LED Lamp. Self Contain Battery, Operate time at least 2 Hrs</t>
  </si>
  <si>
    <t>Swith &amp; Outlet</t>
  </si>
  <si>
    <t>3.5.1</t>
  </si>
  <si>
    <t>16A 250V, Single Pole Switch +Plastic plate</t>
  </si>
  <si>
    <t>3.5.2</t>
  </si>
  <si>
    <t>16A 250V, Single Pole Switch w/lamp +Plastic plate</t>
  </si>
  <si>
    <t>3.5.3</t>
  </si>
  <si>
    <t>16A 250V 2P+G, Duplex Outlet +Plastic plate (WEG15929)+(WEG6803WK)</t>
  </si>
  <si>
    <t xml:space="preserve">Grounding System </t>
  </si>
  <si>
    <t>3.6.1</t>
  </si>
  <si>
    <t>Ground Rod 5/8" x 10'</t>
  </si>
  <si>
    <t>3.6.2</t>
  </si>
  <si>
    <t>Test Box</t>
  </si>
  <si>
    <t>3.6.3</t>
  </si>
  <si>
    <t>Exothermic Weld</t>
  </si>
  <si>
    <t>Fire Alarm System</t>
  </si>
  <si>
    <t>3.7.1</t>
  </si>
  <si>
    <t>Monitor Module For Detector Zone</t>
  </si>
  <si>
    <t>3.7.2</t>
  </si>
  <si>
    <t>Monitor Module For Manual Zone</t>
  </si>
  <si>
    <t>3.7.3</t>
  </si>
  <si>
    <t>Control Module For Alarm Zone</t>
  </si>
  <si>
    <t>3.7.4</t>
  </si>
  <si>
    <t>Fire Alarm Terminal Box</t>
  </si>
  <si>
    <t>3.7.5</t>
  </si>
  <si>
    <t>Smoke Detector</t>
  </si>
  <si>
    <t>3.7.6</t>
  </si>
  <si>
    <t xml:space="preserve">Manual Station </t>
  </si>
  <si>
    <t>3.7.7</t>
  </si>
  <si>
    <t>Alarm Bell</t>
  </si>
  <si>
    <t>3.7.8</t>
  </si>
  <si>
    <t>FR 2C - 2.5 Sqmm,</t>
  </si>
  <si>
    <t>VCT 2C - 1.5 Sqmm,</t>
  </si>
  <si>
    <t>3.7.9</t>
  </si>
  <si>
    <t>Flexible Conduit 1/2"</t>
  </si>
  <si>
    <t>3.7.10</t>
  </si>
  <si>
    <t>Communication System</t>
  </si>
  <si>
    <t>3.8.1</t>
  </si>
  <si>
    <t>RJ45 Cat.6 Modular Jack</t>
  </si>
  <si>
    <t>3.8.2</t>
  </si>
  <si>
    <t>Patch Panel</t>
  </si>
  <si>
    <t>3.8.3</t>
  </si>
  <si>
    <t>UTP Cat.6 Patch Panel</t>
  </si>
  <si>
    <t>1 x 12 Ports</t>
  </si>
  <si>
    <t>3.8.4</t>
  </si>
  <si>
    <t>Cat.6 Patch Cords</t>
  </si>
  <si>
    <t>3.8.5</t>
  </si>
  <si>
    <t>Fiber Optic Patch Cords</t>
  </si>
  <si>
    <t>3.8.6</t>
  </si>
  <si>
    <t>Cable Management</t>
  </si>
  <si>
    <t>3.8.7</t>
  </si>
  <si>
    <t>Rack 19"</t>
  </si>
  <si>
    <t>6 U</t>
  </si>
  <si>
    <t>3.8.8</t>
  </si>
  <si>
    <t>UTP Cat.6  4 Pairs</t>
  </si>
  <si>
    <t>3.8.9</t>
  </si>
  <si>
    <t>3.8.10</t>
  </si>
  <si>
    <t>MATV System</t>
  </si>
  <si>
    <t>3.9.1</t>
  </si>
  <si>
    <t>TV Outlet (Panasonic WEG2501) + Plastic plate 1 Device (Panasonic WEG6801WK)</t>
  </si>
  <si>
    <t>3.9.2</t>
  </si>
  <si>
    <t>4 Ways Splitter (dBy - 401S)</t>
  </si>
  <si>
    <t>3.9.3</t>
  </si>
  <si>
    <t>4 Ways Tap Off (dBy - 402T)</t>
  </si>
  <si>
    <t>3.9.4</t>
  </si>
  <si>
    <t>Coaxial Cable RG6 (Indoor)</t>
  </si>
  <si>
    <t>Coaxial Cable RG11 (Indoor)</t>
  </si>
  <si>
    <t>3.9.5</t>
  </si>
  <si>
    <t>3.9.6</t>
  </si>
  <si>
    <t>Air Conditioning System</t>
  </si>
  <si>
    <t>Splite-Type Air Conditioning &amp; Ventilation Fan Unit</t>
  </si>
  <si>
    <t>4.1.1</t>
  </si>
  <si>
    <t>Split-Type Air Conditioning Unit Carrier 9,000 BTU Model. 38ABF010/42ABF010</t>
  </si>
  <si>
    <t>- Split-Type Air Conditioning Unit Carrier 9,000 BTU (ค่าแรงติดตั้งแอร์เก่า)</t>
  </si>
  <si>
    <t>4.1.2</t>
  </si>
  <si>
    <t>Ventiation Fan</t>
  </si>
  <si>
    <t xml:space="preserve">Ceiling Mount Ventilation Fan (25 L/s,_Pa)    </t>
  </si>
  <si>
    <t>Ceiling Mount Ventilation Fan (25 L/s,_Pa)    (ค่าแรงติดตั้งพัดลมเก่า)</t>
  </si>
  <si>
    <t>Piping Work</t>
  </si>
  <si>
    <t>4.2.1</t>
  </si>
  <si>
    <t>PVC Pipe Class 8.5 (Drain Pipe)</t>
  </si>
  <si>
    <t>Dia 20 mm.</t>
  </si>
  <si>
    <t>4.2.2</t>
  </si>
  <si>
    <t>Refrigerant Cu Tube Type L</t>
  </si>
  <si>
    <t>Dia 10 mm. (Norminal OD.)</t>
  </si>
  <si>
    <t>Dia 19 mm. (Norminal OD.)</t>
  </si>
  <si>
    <t>4.2.3</t>
  </si>
  <si>
    <t>Fitting &amp; Support</t>
  </si>
  <si>
    <t>Pipe Insulation</t>
  </si>
  <si>
    <t>4.3.1</t>
  </si>
  <si>
    <t>19 mm. Closed Cell Foam</t>
  </si>
  <si>
    <t>4.3.2</t>
  </si>
  <si>
    <t>25 mm. Closed Cell Foam</t>
  </si>
  <si>
    <t>Electrical &amp; Control System</t>
  </si>
  <si>
    <t>Sanitary</t>
  </si>
  <si>
    <t>Sanitary Ware</t>
  </si>
  <si>
    <t>5.1.1</t>
  </si>
  <si>
    <t>Water  Closet    NC-7554-WA/T9</t>
  </si>
  <si>
    <t>5.1.2</t>
  </si>
  <si>
    <t>Wash Basin  (NASCO N-030)</t>
  </si>
  <si>
    <t>5.1.3</t>
  </si>
  <si>
    <t>Babin Faucet  / P-Trap / Water Hoses  (GFA-005-100A/1 )</t>
  </si>
  <si>
    <t>5.1.4</t>
  </si>
  <si>
    <t>Mirror  (PVC.Frame ) Boss K203-WHI</t>
  </si>
  <si>
    <t>5.1.5</t>
  </si>
  <si>
    <t>Shower Faucet  (GLOBO  GF-01-470-50 )</t>
  </si>
  <si>
    <t>5.1.6</t>
  </si>
  <si>
    <t>Tissue Holder  (PIXO FS07 )</t>
  </si>
  <si>
    <t>5.1.7</t>
  </si>
  <si>
    <t>Soap Holder (COTTO C-805)</t>
  </si>
  <si>
    <t>5.1.8</t>
  </si>
  <si>
    <t>Towel Bar  ( WATSON รุ่น AX-5504)</t>
  </si>
  <si>
    <t>5.1.9</t>
  </si>
  <si>
    <t>Rinsing  Spray  (PREMA PM600#WH(HM)</t>
  </si>
  <si>
    <t>5.1.10</t>
  </si>
  <si>
    <t>Watet Tap Dia.1/2 inch ( VEGARR KITRB005S-SK )</t>
  </si>
  <si>
    <t>5.1.11</t>
  </si>
  <si>
    <t>Floor Drain  Dia. 3 inch ( VEGARR VFD0302 )</t>
  </si>
  <si>
    <t>5.1.12</t>
  </si>
  <si>
    <t>Water Heater  4,500 W ( Panasonic DH-4HS1T)</t>
  </si>
  <si>
    <t xml:space="preserve">Water Heater  4,500 W </t>
  </si>
  <si>
    <t>Supply By HPC</t>
  </si>
  <si>
    <t>5.1.14</t>
  </si>
  <si>
    <t>Stainless Zink Embed counter ( Cover set and Zinktrap valve)</t>
  </si>
  <si>
    <t>Set.</t>
  </si>
  <si>
    <t>5.1.15</t>
  </si>
  <si>
    <t>Other</t>
  </si>
  <si>
    <t>Water Supply System</t>
  </si>
  <si>
    <t xml:space="preserve">Pipe </t>
  </si>
  <si>
    <t>-PVC  Dia. 1/2 inch ( Class 13.5 ) Thaipipe Or SCG</t>
  </si>
  <si>
    <t>-PVC  Dia. 1-1/2 inch ( Class 13.5 )  Thaipipe Or SCG</t>
  </si>
  <si>
    <t>-PVC  Dia. 1 inch  ( Class 8.5 )  Thaipipe Or SCG</t>
  </si>
  <si>
    <t>-PVC  Dia.  2 inch  ( Class 8.5 )  Thaipipe Or SCG</t>
  </si>
  <si>
    <t>-PVC  Dia. 3 inch ( Class 8.5 )  Thaipipe Or SCG</t>
  </si>
  <si>
    <t>-PVC  Dia.. 4 inch  ( Class 8.5 )   Thaipipe Or SCG</t>
  </si>
  <si>
    <t>-PVC  Dia. 6 inch ( Class 8.5 )  Thaipipe Or SCG</t>
  </si>
  <si>
    <t xml:space="preserve">- HDPE  PE100  PN 6.3   OD. 110 mm. </t>
  </si>
  <si>
    <t xml:space="preserve"> VALVE</t>
  </si>
  <si>
    <t>- Brass Gate  Valve  Dia. 1/2 inch  ( Sanwa )</t>
  </si>
  <si>
    <t>- Brass Gate  Valve  Dia. 1-1/2 inch (  Sanwa )</t>
  </si>
  <si>
    <t>- Stop valve 2 way  Dia. 1-1/2 inch (  Sanwa )</t>
  </si>
  <si>
    <t>- Stop valve 3 way  Dia. 1-1/2 inch (  Sanwa )</t>
  </si>
  <si>
    <t>3.2.3</t>
  </si>
  <si>
    <t xml:space="preserve">SEPTIC TANK </t>
  </si>
  <si>
    <t>-Packet Septic Filter Tank DOS 6000 Liter / Air Pump ( DFF 6000+AB200 )</t>
  </si>
  <si>
    <t xml:space="preserve"> </t>
  </si>
  <si>
    <t>-Packet Seepage Cement Tank ( RC.Ring / Boken /Cabon )</t>
  </si>
  <si>
    <t>3.2.4</t>
  </si>
  <si>
    <t>WATER  METER</t>
  </si>
  <si>
    <t>Water rmeter Dia. 1/2 inch ( Asahi GMK. )</t>
  </si>
  <si>
    <t>By HPC.</t>
  </si>
  <si>
    <t>Water rmeter Dia. 1-1/2 inch ( Asahi GMK. )</t>
  </si>
  <si>
    <t>3.2.5</t>
  </si>
  <si>
    <t>Pipe Fitting</t>
  </si>
  <si>
    <t>( Dia. 1/2  inch )</t>
  </si>
  <si>
    <t>Brass female socket  Dia.1/2 inch.</t>
  </si>
  <si>
    <t>PVC. socket  Dia.1/2 inch.</t>
  </si>
  <si>
    <t>PVC. Elbow 90°   Dia. 1/2 inch.</t>
  </si>
  <si>
    <t>PVC. Tee  90°   Dia. 1/2 inch.</t>
  </si>
  <si>
    <t>PVC. Grip   Dia. 1/2 inch.</t>
  </si>
  <si>
    <t>( Dia. 1 inch )</t>
  </si>
  <si>
    <t>PVC. socket  Dia.1 inch. ( หนา )</t>
  </si>
  <si>
    <t>PVC. Elbow 90°   Dia. 1 inch. ( หนา )</t>
  </si>
  <si>
    <t>PVC. Tee  90°   Dia. 1 inch. ( หนา )</t>
  </si>
  <si>
    <t>( Dia. 2 inch )</t>
  </si>
  <si>
    <t>PVC.  Elbow 90°  Dia. 2 inch. ( บาง )</t>
  </si>
  <si>
    <t>PVC.  Elbow 45°  Dia. 2 inch.  ( บาง )</t>
  </si>
  <si>
    <t>( Dia. 3 inch )</t>
  </si>
  <si>
    <t>PVC. socket  Dia. 3 inch.  ( บาง )</t>
  </si>
  <si>
    <t>PVC.  Elbow 45°  Dia. 3 inch. ( บาง )</t>
  </si>
  <si>
    <t>PVC. Tee - Reducing  Dia. 3 - 1 inch. ( หนา )</t>
  </si>
  <si>
    <t>PVC. Tee Y - Reducing  Dia. 3 - 2 inch. ( บาง )</t>
  </si>
  <si>
    <t>( Dia. 4 inch )</t>
  </si>
  <si>
    <t>PVC. socket  Dia. 4 inch.  ( บาง )</t>
  </si>
  <si>
    <t>PVC.  Elbow 45°  Dia. 4 inch.  ( บาง )</t>
  </si>
  <si>
    <t>PVC. Reducing  Dia. 4 - 2  inch. ( บาง )เยื้องศูนย์</t>
  </si>
  <si>
    <t>PVC. Reducing  Dia. 4 - 3  inch.  ( บาง )เยื้องศูนย์</t>
  </si>
  <si>
    <t>PVC. Tee Y  Dia. 4  inch. ( บาง )</t>
  </si>
  <si>
    <t>PVC. Tee - Reducing  Dia. 4 - 1 inch. ( หนา )</t>
  </si>
  <si>
    <t>( Dia. 6 inch )</t>
  </si>
  <si>
    <t>PVC. socket  Dia. 6  inch.  ( บาง )</t>
  </si>
  <si>
    <t>PVC.  Elbow 45°  Dia. 6 inch.  ( บาง )</t>
  </si>
  <si>
    <t>PVC. Reducing  Dia. 6 - 4  inch. ( บาง )เยื้องศูนย์</t>
  </si>
  <si>
    <t>PVC. Tee  Y  Dia. 6   inch. ( บาง )</t>
  </si>
  <si>
    <t>PVC. Tee  Y  Reducing  Dia. 6 - 4   inch. ( บาง )</t>
  </si>
  <si>
    <t>3.2.6</t>
  </si>
  <si>
    <t>SUPPORT PIPE</t>
  </si>
  <si>
    <t xml:space="preserve"> - Split Ring Hanger 3"  SR19 ( Bolt Dia. 3/8" )</t>
  </si>
  <si>
    <t xml:space="preserve"> - Split Ring Hanger 4"  SR19 ( Bolt Dia. 3/8" )</t>
  </si>
  <si>
    <t>3.2.7</t>
  </si>
  <si>
    <t>CLEAN OUT</t>
  </si>
  <si>
    <t>Brass Clean out  Dai  3 inch</t>
  </si>
  <si>
    <t>Brass Clean out   Dai 4 inch</t>
  </si>
  <si>
    <t>Brass Clean out  Dai  6 inch</t>
  </si>
  <si>
    <t>3.2.8</t>
  </si>
  <si>
    <t xml:space="preserve">INSTALL  ZINK </t>
  </si>
  <si>
    <t>Zink ( for room ) วัสดุของเดิม</t>
  </si>
  <si>
    <t>No</t>
  </si>
  <si>
    <t>3.2.9</t>
  </si>
  <si>
    <t>Excavation work for pipelines</t>
  </si>
  <si>
    <t>TOTAL / 1 Building</t>
  </si>
  <si>
    <t>GRAND TOTAL / 3 Building</t>
  </si>
  <si>
    <t>Construction Hongsa power Accommodation</t>
  </si>
  <si>
    <t>Demolish work and Clearing Area</t>
  </si>
  <si>
    <t>HONGSA DISTRICT. LAO</t>
  </si>
  <si>
    <t>SUMMARY</t>
  </si>
  <si>
    <t>CLEARING WORK</t>
  </si>
  <si>
    <t>LS</t>
  </si>
  <si>
    <t>DEMOLISH EXISTING CONSTRUCTION</t>
  </si>
  <si>
    <t>Carried to Final Summary</t>
  </si>
  <si>
    <t>Clearing Work</t>
  </si>
  <si>
    <t>Clearing  site  of  rubbish, debris, tall  grass, shrubs, bushes, undergrowth  and  the  like</t>
  </si>
  <si>
    <t>Demolish Work</t>
  </si>
  <si>
    <t>Demolish the existing construction and dispose of the material in the dumping area.</t>
  </si>
  <si>
    <t>Existing Water Plant</t>
  </si>
  <si>
    <t>Existing Fence</t>
  </si>
  <si>
    <t>Existing concrete slab and construction</t>
  </si>
  <si>
    <t>Transportation material to dumping area</t>
  </si>
  <si>
    <t>Sr.Officer Type</t>
  </si>
  <si>
    <t>QTY</t>
  </si>
  <si>
    <t>STRUCTURE WORK</t>
  </si>
  <si>
    <t>ARCHITECTURL WORK</t>
  </si>
  <si>
    <t>ELECTRICAL AND MECHANICAL WORK</t>
  </si>
  <si>
    <t>SANITARYWORK</t>
  </si>
  <si>
    <t>Excavation for footings, ground beams and the like from existing ground level</t>
  </si>
  <si>
    <t>Backfilling around footings, ground beams and the like with selected excavated material</t>
  </si>
  <si>
    <t>50 mm thick compacted sand blinding as described to footing, ground beam, ground slab and etc.</t>
  </si>
  <si>
    <t>Concrete 240 Ksc. (Cylinder)</t>
  </si>
  <si>
    <t xml:space="preserve">Reinforcement Bar </t>
  </si>
  <si>
    <t>Mild steel rod reinforcement to ASTM A615M, guarantee Yield Stress of 2400 ksc and Deformed steel rod reinforcement to ASTM A615M, minimum Yield Stress of 3000 ksc as described in :-</t>
  </si>
  <si>
    <t>1.1.13</t>
  </si>
  <si>
    <t>RC Gutter  around Building site  30x30x7 cm</t>
  </si>
  <si>
    <t>Supply, deliver, fabricate, erect the following structural steel works all cuts, welded and framed and/or bolted together, fixing in position including all shop and sire connections :-</t>
  </si>
  <si>
    <t xml:space="preserve">C 150x65x20x3.2 mm. @ 1.00 m (7.51 kg/m) </t>
  </si>
  <si>
    <t>C 150x75x25x4.5 mm. (11.30 kg/m.)</t>
  </si>
  <si>
    <t xml:space="preserve">SQUARE TUBE[/]150x75x3.2 mm. (10.78 kg/m.) </t>
  </si>
  <si>
    <r>
      <t xml:space="preserve">Anti Rust Coating </t>
    </r>
    <r>
      <rPr>
        <b/>
        <sz val="14"/>
        <rFont val="CordiaUPC"/>
        <family val="2"/>
      </rPr>
      <t xml:space="preserve"> (White Color, TOA or Equal)</t>
    </r>
  </si>
  <si>
    <r>
      <t xml:space="preserve">Anti Rust Coating and Top Coating  </t>
    </r>
    <r>
      <rPr>
        <b/>
        <sz val="14"/>
        <rFont val="CordiaUPC"/>
        <family val="2"/>
      </rPr>
      <t>(White Color, TOA or Equal)</t>
    </r>
  </si>
  <si>
    <t>7 CM. Cement Block Wall</t>
  </si>
  <si>
    <t>Plaster with metal lath to cement wall, columns, stiffeners, lintels, beams and the like</t>
  </si>
  <si>
    <t xml:space="preserve">  - Steel Grid 1x1 cm.</t>
  </si>
  <si>
    <t>Ceramic Tile 200x250mm. (White Color, Duragres)</t>
  </si>
  <si>
    <t>Fiber Cement Board Wall 15 cm and 20 cm</t>
  </si>
  <si>
    <t>0.07x0.10 M.Lintel (Material Include Structure Item)</t>
  </si>
  <si>
    <t>F1 Ceramic Tile 300x300 mm. (NON SLIP White Color, Duragres)</t>
  </si>
  <si>
    <t>F2 Ceramic Tile 200x200mm.(NON SLIP)</t>
  </si>
  <si>
    <t>C1; T-Bar, Gypsum Board 9 mm. (Elephant Brand)</t>
  </si>
  <si>
    <t>C2; T-Bar, Gypsum Board 9 mm. Moisturized Resistance (Elephant Brand)</t>
  </si>
  <si>
    <t>C3; Gypsum board 9 mm. Tape Plaster Joiny on  GALV.Steel 0.55 mm.thk.. (Elephant Brand)</t>
  </si>
  <si>
    <t>C5; Ventilate Smart Board 4 mm. Striped With Frame GALV.Steel 0.55 mm.thk.. (Elephant Brand)</t>
  </si>
  <si>
    <t>Installation roofing tile and accessories</t>
  </si>
  <si>
    <t>Roman Tile 50x120x0.55 cm. Include insulation sheet (Brown Color Elephant Brand)</t>
  </si>
  <si>
    <t>CPAC Monier Round Ridge 3.3 PCS/m  (Brown Color Elephant Brand)</t>
  </si>
  <si>
    <t>CPAC Monier Round Hip Ridge 3.3 PCS/m  (Brown Color Elephant Brand)</t>
  </si>
  <si>
    <t>CPAC Monier Hip End. (Elephant Brand, Brown Color)</t>
  </si>
  <si>
    <t>CPAC Monier Ridge End. (Elephant Brand, Brown Color)</t>
  </si>
  <si>
    <t>CPAC Monier Barge. 3 PCS/m (Elephant Brand, Brown Color)</t>
  </si>
  <si>
    <t>Hook Bolt 6 in including all accessories as required</t>
  </si>
  <si>
    <t>Steel plate 200x200x9 mm, thick</t>
  </si>
  <si>
    <t xml:space="preserve">  - Fiber Cement Board 2.5x20 cm.</t>
  </si>
  <si>
    <t xml:space="preserve">  - Fiber Cement Board 2.5x25 cm.</t>
  </si>
  <si>
    <t>Rain water trough SCG 15x30 cm. inclued roof drain No.8</t>
  </si>
  <si>
    <t xml:space="preserve">    -Rain water trough SCG 15x30 cm. No 26</t>
  </si>
  <si>
    <t xml:space="preserve">    -Pipe SCG dai. 10 cm.</t>
  </si>
  <si>
    <t>D4  FIBERGLASS DOOR FRAME ( DRY TECH ) 80x200 CM.  Included Equipment</t>
  </si>
  <si>
    <t>W1  Aluminum Sliding Window  120x110 cm. Clear Glass 6 mm. thk. Incloded Equipment</t>
  </si>
  <si>
    <t>W2 Glass Louver Wooden Window 0.85x110 cm.</t>
  </si>
  <si>
    <t>W3 Frost Glass Toilet Wooden Window 50x50 cm.</t>
  </si>
  <si>
    <t>W4 Fix Wooden Louver Twin Gable</t>
  </si>
  <si>
    <t>W5  FIBERGLASS DOOR FRAME ( DRY TECH ) 80x200 CM  Included Equipment</t>
  </si>
  <si>
    <t xml:space="preserve">  -For D2 (80x200 cm.)</t>
  </si>
  <si>
    <t xml:space="preserve">  -For D4 (80x200 cm.)</t>
  </si>
  <si>
    <t xml:space="preserve">  -For W1 (120x110 cm.)</t>
  </si>
  <si>
    <t xml:space="preserve">  -For W3 (50x50 cm.)</t>
  </si>
  <si>
    <t xml:space="preserve">  -For W4 (50x100 cm.)</t>
  </si>
  <si>
    <t xml:space="preserve"> C1: Acrylic Interior Paint (White Color, TOA or Equal)</t>
  </si>
  <si>
    <t xml:space="preserve"> C2: Acrylic Interior Paint (White Color, TOA or Equal)</t>
  </si>
  <si>
    <t>Counter Concrete 0.70x0.80x2.00 m. (Included Ceramic Tile 0.20x0.20 m. and Hard ware)</t>
  </si>
  <si>
    <t>Electrical and Mechanical Work</t>
  </si>
  <si>
    <t>Panel 3 phase 4 wires 250 A, IC&gt;25 KA 36 ckt  Model. Q03-100EZ36/SN</t>
  </si>
  <si>
    <t>Panel 1 phase 2 wires , IC&gt;10 KA 6 ckt  Model. SDCS 16</t>
  </si>
  <si>
    <t>Soft Ccover Plat WEG7943  (ฝาพลาสติก 3ช่องกันน้ำ)</t>
  </si>
  <si>
    <t>Kilo Watt Hour Meter 1 Phase 220 V 15/45A Brand. Mitsubishi</t>
  </si>
  <si>
    <t>Provide by HPC.</t>
  </si>
  <si>
    <t>KHW Hour Meter Panal 20 Chanels (ตู้ไส่ KHW 20 ช่อง)</t>
  </si>
  <si>
    <t>95 Sqmm,</t>
  </si>
  <si>
    <t>3.3.8</t>
  </si>
  <si>
    <t>Lighting System</t>
  </si>
  <si>
    <t>3.4.1.1</t>
  </si>
  <si>
    <t>lamptan LED Multi-Smart Ceiling Light 24 W Brand Lamptan</t>
  </si>
  <si>
    <t>3.4.1.2</t>
  </si>
  <si>
    <t>LED Ciling ColerChange 24W Brand EVE</t>
  </si>
  <si>
    <t>3.4.1.3</t>
  </si>
  <si>
    <t>LED Ciling ColerChange 14W Brand .EVE</t>
  </si>
  <si>
    <t>3.4.1.4</t>
  </si>
  <si>
    <t>Downlight, LED  Recer EVO Tech 24W. Day Light  8"</t>
  </si>
  <si>
    <t>3.4.1.5</t>
  </si>
  <si>
    <t>Downlight, LED  Recer EVO Tech 18W. Day Light  6"</t>
  </si>
  <si>
    <t>3.4.1.6</t>
  </si>
  <si>
    <t>Emergency Light,LED  (LED 2x9W 3HRS) MODEL CU 209CD3 LED, Operate time at leasr 3 Hrs Brand .SUNNy</t>
  </si>
  <si>
    <t>3.4.1.7</t>
  </si>
  <si>
    <t>3.4.2.1</t>
  </si>
  <si>
    <t>3.4.2.2</t>
  </si>
  <si>
    <t>3.4.2.3</t>
  </si>
  <si>
    <t>Grounding System  (&lt;5 Ohm)</t>
  </si>
  <si>
    <t>3.5.1.1</t>
  </si>
  <si>
    <t>3.5.1.2</t>
  </si>
  <si>
    <t>3.5.1.3</t>
  </si>
  <si>
    <t>3.5.1.4</t>
  </si>
  <si>
    <t>Taper Pointed Air Rod  Model PTR-20-2000 Rod Size=20mm. Rod Length=2000 mm.(เสาล่อฟ้าแบบปลายแหลม)</t>
  </si>
  <si>
    <t>Ea</t>
  </si>
  <si>
    <t>3.5.1.5</t>
  </si>
  <si>
    <t>Light Duty Saddle Model. PBCM -3/4  Copper Tape 25x3</t>
  </si>
  <si>
    <t>3.5.1.6</t>
  </si>
  <si>
    <t>Bare Copper Conductors 35 Sq.mm</t>
  </si>
  <si>
    <t>3.5.1.7</t>
  </si>
  <si>
    <t xml:space="preserve"> Accessory</t>
  </si>
  <si>
    <t>3.5.2.1</t>
  </si>
  <si>
    <t>3.5.2.2</t>
  </si>
  <si>
    <t>3.5.2.3</t>
  </si>
  <si>
    <t>Cable &amp; Wire FR 2C - 2.5 Sqmm,</t>
  </si>
  <si>
    <t>3.5.2.4</t>
  </si>
  <si>
    <t xml:space="preserve">Communication System </t>
  </si>
  <si>
    <t>3.6.1.1</t>
  </si>
  <si>
    <t>CAT 6 Data  Modular Jack,  Panasonic WEG24886  (Support Asset Point)</t>
  </si>
  <si>
    <t>3.6.1.2</t>
  </si>
  <si>
    <t>3.6.1.3</t>
  </si>
  <si>
    <t>3.6.1.4</t>
  </si>
  <si>
    <t>3.6.1.5</t>
  </si>
  <si>
    <t>3.6.1.6</t>
  </si>
  <si>
    <t>3.6.1.7</t>
  </si>
  <si>
    <t xml:space="preserve">Cat.6 a F/FTP XG (500MHz)Cable LSZH Aqua Blue   </t>
  </si>
  <si>
    <t>3.6.1.8</t>
  </si>
  <si>
    <t>3.6.2.1</t>
  </si>
  <si>
    <t>3.6.2.2</t>
  </si>
  <si>
    <t>3.6.2.3</t>
  </si>
  <si>
    <t>3.6.2.4</t>
  </si>
  <si>
    <t>3.6.2.5</t>
  </si>
  <si>
    <t>Split-Type Air Conditioning Unit Carrier 9,200 BTU Model. 38TVDA010/42TVDA010</t>
  </si>
  <si>
    <t xml:space="preserve">Piping Insulation &amp;รางครอบท่อแอร์ Slim Duct </t>
  </si>
  <si>
    <t>Exhaut fan 8" Mitsubishi EX-20SSCT</t>
  </si>
  <si>
    <t>Sanitary Work</t>
  </si>
  <si>
    <t>Water  Closet   ( NC-7557 - WA) NASCO</t>
  </si>
  <si>
    <t>Wash Basin  ( LN-085 -WA)NASCO</t>
  </si>
  <si>
    <t>4.1.3</t>
  </si>
  <si>
    <t>Basin Faucet  / P-Trap / Water Hoses /Wash basin Drain   (NASCO )</t>
  </si>
  <si>
    <t>4.1.4</t>
  </si>
  <si>
    <t>Mirror Size 50 x 70 cm. MOYA HL-HP005</t>
  </si>
  <si>
    <t>4.1.5</t>
  </si>
  <si>
    <t xml:space="preserve">Shower Faucet  (FB-2251-SP ) /Water Hoses   (NASCO) </t>
  </si>
  <si>
    <t>4.1.6</t>
  </si>
  <si>
    <t xml:space="preserve">Tissue Holder  (NA-08 ) NASCO </t>
  </si>
  <si>
    <t>4.1.7</t>
  </si>
  <si>
    <t xml:space="preserve">Soap Holder (NA-095) NASCO </t>
  </si>
  <si>
    <t>4.1.8</t>
  </si>
  <si>
    <t xml:space="preserve">Towel Bar  ( FA-1201) NASCO </t>
  </si>
  <si>
    <t>4.1.9</t>
  </si>
  <si>
    <t>Rinsing  Spray  ( FP-9302-SP ) NASCO</t>
  </si>
  <si>
    <t>4.1.10</t>
  </si>
  <si>
    <t>Water Tap Dia.1/2 inch ( FB-7206-SP ) NASCO</t>
  </si>
  <si>
    <t>4.1.11</t>
  </si>
  <si>
    <t>Floor Drain  Dia. 3 inch ( FP-5204 ) NASCO</t>
  </si>
  <si>
    <t>4.1.12</t>
  </si>
  <si>
    <t>Water Heater  6,000 W ( WH-T65M)  Sharp</t>
  </si>
  <si>
    <t>4.1.13</t>
  </si>
  <si>
    <t>Stainless Sink Embed counter ( Cover set and Zinktrap valve )Size 100x50x18 cm. D10050XL and Counter Concrete Size - 0.65 x 1.50 x 0.10 m.</t>
  </si>
  <si>
    <t xml:space="preserve">PVC Pipe </t>
  </si>
  <si>
    <t xml:space="preserve">- </t>
  </si>
  <si>
    <t>PVC  Dia. 1/2 inch ( Class 13.5 ) Thaipipe Or SCG</t>
  </si>
  <si>
    <t>PVC  Dia. 1-1/2 inch ( Class 13.5 )  Thaipipe Or SCG</t>
  </si>
  <si>
    <t>PVC  Dia. 1 inch  ( Class 8.5 )  Thaipipe Or SCG</t>
  </si>
  <si>
    <t>PVC  Dia.  2 inch  ( Class 8.5 )  Thaipipe Or SCG</t>
  </si>
  <si>
    <t>PVC  Dia. 3 inch ( Class 8.5 )  Thaipipe Or SCG</t>
  </si>
  <si>
    <t>PVC  Dia.. 4 inch  ( Class 8.5 )   Thaipipe Or SCG</t>
  </si>
  <si>
    <t>PVC  Dia. 6 inch ( Class 8.5 )  Thaipipe Or SCG</t>
  </si>
  <si>
    <t>Pipe Fitting  (Thaipipe Or SCG )</t>
  </si>
  <si>
    <t xml:space="preserve"> Dia. 1/2 inch ( หนา )</t>
  </si>
  <si>
    <t xml:space="preserve"> Dia. 1-1/2 inch ( หนา )</t>
  </si>
  <si>
    <t xml:space="preserve"> Dia. 1 inch ( บาง )</t>
  </si>
  <si>
    <t xml:space="preserve"> Dia. 2 inch ( บาง )</t>
  </si>
  <si>
    <t xml:space="preserve"> Dia. 3 inch ( บาง )</t>
  </si>
  <si>
    <t>Dia. 4 inch ( บาง )</t>
  </si>
  <si>
    <t>Dia. 6 inch ( บาง )</t>
  </si>
  <si>
    <t xml:space="preserve"> VALVES</t>
  </si>
  <si>
    <t>Brass Gate  Valve  Dia. 1/2 inch  ( Sanwa )</t>
  </si>
  <si>
    <t>Brass Gate  Valve  Dia. 1-1/2 inch (  Sanwa )</t>
  </si>
  <si>
    <t>Stop valve 1 way  Dia. 1/2 inch (  Sanwa )</t>
  </si>
  <si>
    <t>Stop valve 2 way  Dia. 1/2 inch (  Sanwa )</t>
  </si>
  <si>
    <t>4.2.4</t>
  </si>
  <si>
    <t>Packet Septic Filter Tank DOS 6000 Liter / Air Pump ( DFF 6000+AB200 ) รุ่นเติมอากาศ</t>
  </si>
  <si>
    <t>Packet Seepage Cement Tank ( 2 Hole / 10 - RC.Ring Dia.1.00 m.)</t>
  </si>
  <si>
    <t>4.2.5</t>
  </si>
  <si>
    <t>Concrete Box and Cover 3 cm. thk. ( For  Meter Dia. 1/2 inch )</t>
  </si>
  <si>
    <t>Concrete Box and Cover 3 cm. thk. ( For  Meter Dia. 1-1/2 inch )</t>
  </si>
  <si>
    <t>4.2.6</t>
  </si>
  <si>
    <t xml:space="preserve">Hot dip galvanized Clevis Hanger 3"  </t>
  </si>
  <si>
    <t xml:space="preserve">Hot dip galvanized Clevis Hanger 4"  </t>
  </si>
  <si>
    <t>4.2.7</t>
  </si>
  <si>
    <t>4.2.8</t>
  </si>
  <si>
    <t>INSTALL  Grease Trap</t>
  </si>
  <si>
    <t>Grease Trap ยี่ห้อ Prema รุ่น PMGT/U60  ( 60 Lit.) and cover box</t>
  </si>
  <si>
    <t>Hotdip Galvanized Steel Grating Size 0.25 x 1.00 x 0.025 m.</t>
  </si>
  <si>
    <t>Accessorie</t>
  </si>
  <si>
    <t>GRANDTOTAL</t>
  </si>
  <si>
    <t>Officer ans Staff Type</t>
  </si>
  <si>
    <t xml:space="preserve">C 75x45x15x2.3 mm. (3.25 kg/m) </t>
  </si>
  <si>
    <t>C 100x50x20x3.2 mm. (5.56 kg/m.)</t>
  </si>
  <si>
    <t xml:space="preserve">C 120x50x20x3.2 mm. (6.13 kg/m) </t>
  </si>
  <si>
    <t>C 150x50x20x3.2 mm. (6.76 kg/m.)</t>
  </si>
  <si>
    <t>L-75x75x6 mm. (6.85 kg/m)</t>
  </si>
  <si>
    <t>Anti Rust Coating and Top Coating  (White Color, TOA or Equal)</t>
  </si>
  <si>
    <t>P3: WOODEN WALL 2x15, 2x20 cm.  WITH WOODEN FRAME 4x8 cm. @ 60 cm.</t>
  </si>
  <si>
    <t>F1: Ceramic Tile 300x300mm.(NON SLIP)</t>
  </si>
  <si>
    <t>F2: Ceramic Tile 200x200mm.(NON SLIP)</t>
  </si>
  <si>
    <t>F3:Steel Trowel Finish</t>
  </si>
  <si>
    <t>C3: Smart Board Ventilate 4 mm. Striped With Frame GALV.Steel 0.55 mm.thk.. (Elephant Brand)</t>
  </si>
  <si>
    <t>Translucent Ceiling  60x60 cm.</t>
  </si>
  <si>
    <t>TRANSLUCEN ROMAN TILE 50x120 cm.</t>
  </si>
  <si>
    <t>Barge (Cement Color Elephant Brand)</t>
  </si>
  <si>
    <t>Ridge End  (Cement Color Elephant Brand)</t>
  </si>
  <si>
    <t>Bargep End (Cement Color Elephant Brand)</t>
  </si>
  <si>
    <t>Eave Filler Set 1EA. = 10 PCS.</t>
  </si>
  <si>
    <t>Cilp Lock 20 cm. For Structure Steel C 75</t>
  </si>
  <si>
    <t>2.4.12</t>
  </si>
  <si>
    <t>2.4.13</t>
  </si>
  <si>
    <t xml:space="preserve">  - Wooden 2.5x15 cm.</t>
  </si>
  <si>
    <t xml:space="preserve">  - Wooden 2.5x20 cm.</t>
  </si>
  <si>
    <t>2.4.14</t>
  </si>
  <si>
    <t>D1 (Included Hard Ware)</t>
  </si>
  <si>
    <t>D2 (Included Mosquito wire screen and Hard Ware)</t>
  </si>
  <si>
    <t>D3 (Included Hard Ware)</t>
  </si>
  <si>
    <t>D4 (Included Hard Ware)</t>
  </si>
  <si>
    <t>D5 (Included Mosquito wire screen and Hard Ware)</t>
  </si>
  <si>
    <t>W1 (Included Mosquito wire screen)</t>
  </si>
  <si>
    <t>W4 (Incloded Mosquito wire screen)</t>
  </si>
  <si>
    <t xml:space="preserve"> W1: Acrylic Exterior Paint (White Color,TOA or Equal)</t>
  </si>
  <si>
    <t xml:space="preserve"> C2: Acrylic Exterior Paint (White Color, TOA or Equal)</t>
  </si>
  <si>
    <t xml:space="preserve"> C3:Acrylic Interior Paint (White Color, TOA or Equal)</t>
  </si>
  <si>
    <t>Concrete Counter  (Incloded Hard Ware)</t>
  </si>
  <si>
    <t>Panel 3 phase 4 wires 165 A, IC&gt;25 KA 24 ckt  Model. Q03-100EZ24/SN</t>
  </si>
  <si>
    <t>Main CB 160AT/250 AF, 3P IC&gt;25 KA</t>
  </si>
  <si>
    <t>KHW Hour Meter Panal 20 Chanels (ตู้ใส่ KHW 20 ช่อง)</t>
  </si>
  <si>
    <t>1.2.1</t>
  </si>
  <si>
    <t>1.5 Sqmm,</t>
  </si>
  <si>
    <t>1.2.2</t>
  </si>
  <si>
    <t>70 Sqmm,</t>
  </si>
  <si>
    <t>2.5" IMC</t>
  </si>
  <si>
    <t>2.5" HDPE</t>
  </si>
  <si>
    <t>1.4.1</t>
  </si>
  <si>
    <t>1.4.2</t>
  </si>
  <si>
    <t>1.4.3</t>
  </si>
  <si>
    <t>1.4.4</t>
  </si>
  <si>
    <t>Fluorescent profile Mirror Louver Type 2x20 W. Tube  (แบบติดลอย)</t>
  </si>
  <si>
    <t>1.4.5</t>
  </si>
  <si>
    <t>Fluorescent profile Mirror Louver Type  10  W. Tube (แบบติดลอย)</t>
  </si>
  <si>
    <t>1.4.6</t>
  </si>
  <si>
    <t>1.4.7</t>
  </si>
  <si>
    <t>1.4.8</t>
  </si>
  <si>
    <t>Emergency Light,LED  (LED 2x9W 3HRS) MODEL CU 209CD3 LED, Operate time at leasr 3 Hrs Brand .SUNNY</t>
  </si>
  <si>
    <t>1.4.9</t>
  </si>
  <si>
    <t>1.5.1</t>
  </si>
  <si>
    <t>1.5.2</t>
  </si>
  <si>
    <t>1.5.3</t>
  </si>
  <si>
    <t>1.6.1</t>
  </si>
  <si>
    <t>1.6.2</t>
  </si>
  <si>
    <t>1.6.3</t>
  </si>
  <si>
    <t>1.6.4</t>
  </si>
  <si>
    <t>1.6.5</t>
  </si>
  <si>
    <t>1.6.6</t>
  </si>
  <si>
    <t>1.6.7</t>
  </si>
  <si>
    <t>1.7.6</t>
  </si>
  <si>
    <t>1.7.7</t>
  </si>
  <si>
    <t>1.7.8</t>
  </si>
  <si>
    <t>1.7.9</t>
  </si>
  <si>
    <t>1.8.1</t>
  </si>
  <si>
    <t>1.8.2</t>
  </si>
  <si>
    <t>1.8.3</t>
  </si>
  <si>
    <t>1.8.5</t>
  </si>
  <si>
    <t>1.8.6</t>
  </si>
  <si>
    <t>1.8.7</t>
  </si>
  <si>
    <t>1.8.8</t>
  </si>
  <si>
    <t>Split-Type Air Conditioning Unit Carrier 18000 BTU Model. 38TVDA018/42TVDA018</t>
  </si>
  <si>
    <t>Wash Basin  ( LN-085-WA )NASCO</t>
  </si>
  <si>
    <t xml:space="preserve">Shower Faucet  (FB-2251-SP ) /Water Hoses  (NASCO) </t>
  </si>
  <si>
    <t>Stainless Sink Embed counter ( Cover set and Zinktrap valve) Size 100x50x18 cm. D10050XL and Counter Concrete Size - 0.65 x 1.50 x 0.10 m.</t>
  </si>
  <si>
    <t xml:space="preserve"> - Dia. 1/2 inch ( หนา )</t>
  </si>
  <si>
    <t>ls</t>
  </si>
  <si>
    <t xml:space="preserve"> - Dia. 1-1/2 inch ( หนา )</t>
  </si>
  <si>
    <t xml:space="preserve"> - Dia. 1 inch ( บาง )</t>
  </si>
  <si>
    <t xml:space="preserve"> - Dia. 2 inch ( บาง )</t>
  </si>
  <si>
    <t xml:space="preserve"> - Dia. 3 inch ( บาง )</t>
  </si>
  <si>
    <t xml:space="preserve"> - Dia. 4 inch ( บาง )</t>
  </si>
  <si>
    <t xml:space="preserve"> - Brass Gate  Valve  Dia. 1/2 inch  ( Sanwa )</t>
  </si>
  <si>
    <t xml:space="preserve"> - Brass Gate  Valve  Dia. 1-1/2 inch (  Sanwa )</t>
  </si>
  <si>
    <t xml:space="preserve"> - Stop valve 1 way  Dia. 1-1/2 inch (  Sanwa )</t>
  </si>
  <si>
    <t xml:space="preserve"> - Stop valve 2 way  Dia. 1-1/2 inch (  Sanwa )</t>
  </si>
  <si>
    <t xml:space="preserve"> - Packet Septic Filter Tank DOS 3000 Liter / Air Pump ( DFF 6000+AB200 ) รุ่นเติมอากาศ</t>
  </si>
  <si>
    <t xml:space="preserve"> - Packet Seepage Cement Tank ( RC.Ring / Boken /Cabon ) 2 Hole / 8 - RC. Ring Dia. 1.00 m.</t>
  </si>
  <si>
    <t xml:space="preserve"> - Water rmeter Dia. 1/2 inch ( Asahi GMK. )</t>
  </si>
  <si>
    <t xml:space="preserve"> - Water rmeter Dia. 1-1/2 inch ( Asahi GMK. )</t>
  </si>
  <si>
    <t xml:space="preserve"> - Concrete Box and Cover 3 cm. thk. ( For  Meter Dia. 1/2 inch )</t>
  </si>
  <si>
    <t xml:space="preserve"> - Concrete Box and Cover 3 cm. thk. ( For  Meter Dia. 1-1/2 inch )</t>
  </si>
  <si>
    <t>Main Water Supply System And Waste Water System</t>
  </si>
  <si>
    <t xml:space="preserve">Main Water Supply System </t>
  </si>
  <si>
    <t xml:space="preserve"> HDPE Pipe and Fitting PE100, PN10  ( For Cold Water Supply Pipe )</t>
  </si>
  <si>
    <t xml:space="preserve">  - Excavation and Back Fill  ( 40 * 50 cm.)</t>
  </si>
  <si>
    <t xml:space="preserve">  - Sand Beding  8 cm. thk.</t>
  </si>
  <si>
    <t>Cum.</t>
  </si>
  <si>
    <t xml:space="preserve"> - HDPE  PE100  PN 10  OD. 110 mm. ( Main Water Supply )</t>
  </si>
  <si>
    <t xml:space="preserve"> - HDPE Elbow 45°  OD. 110 x 110 mm. PN10 ( Butt fusion welding )</t>
  </si>
  <si>
    <t xml:space="preserve"> - HDPE Elbow 90°  OD. 110 x 110 mm. PN10 ( Butt fusion welding )</t>
  </si>
  <si>
    <t xml:space="preserve"> - HDPE Tee 90 ° OD. 110 x 110 x 110 mm. PN10 ( Butt fusion welding )</t>
  </si>
  <si>
    <t xml:space="preserve"> - HDPE Clamp Saddle OD. 110 x 1-1/2"</t>
  </si>
  <si>
    <t xml:space="preserve"> - HDPE  Male  Adaptor  OD. 110 x 4"</t>
  </si>
  <si>
    <t xml:space="preserve"> - Brass Gate  Valve  Dia. 4 inch (  Sanwa )</t>
  </si>
  <si>
    <t xml:space="preserve"> - Concrete Box and Cover 3 cm. thk. ( For  Gate Valve Dia. 4 inch )</t>
  </si>
  <si>
    <t>Waste Water Pipe</t>
  </si>
  <si>
    <t xml:space="preserve"> HDPE Pipe and Fitting  PE 100 PN 10  ( For Waste  Water Pipe )</t>
  </si>
  <si>
    <t xml:space="preserve">  - Excavation and Back Fill  ( 40 * 50  cm. or  Varies Slope To Seepage )</t>
  </si>
  <si>
    <t xml:space="preserve"> - HDPE  PE100  PN 10  OD. 110 mm. ( Waste  Pipe )</t>
  </si>
  <si>
    <t xml:space="preserve"> - HDPE   TEE  Y  OD. 110 x 110 x 110 mm. PN10 ( Butt fusion welding )</t>
  </si>
  <si>
    <t xml:space="preserve"> CLEAN OUT</t>
  </si>
  <si>
    <t xml:space="preserve"> - Brass Clean Out  Dia. 4 inch</t>
  </si>
  <si>
    <t xml:space="preserve">SEEPAGE </t>
  </si>
  <si>
    <t xml:space="preserve"> - Packet Seepage Cement Tank ( RC.Ring / Boken /Cabon )  4 Hole / 16  RC. Ring Dia. 1.00 m.</t>
  </si>
  <si>
    <t>Drainage System</t>
  </si>
  <si>
    <t>NKK / Ceneec Accom</t>
  </si>
  <si>
    <t>RC. U-Ditch  Type A.</t>
  </si>
  <si>
    <t xml:space="preserve">RC. U-Ditch  Type B. </t>
  </si>
  <si>
    <t>RC. U-Ditch  Type C.</t>
  </si>
  <si>
    <t>RCP 600 mm.</t>
  </si>
  <si>
    <t>ea.</t>
  </si>
  <si>
    <t>Manhole  and Steel Grating  Cover  10 cm. thk</t>
  </si>
  <si>
    <t>Insize - 0.80 x 1.00 m . H= 1.00 m.</t>
  </si>
  <si>
    <t>Fence at New Accom NNK. / Ceneec</t>
  </si>
  <si>
    <t>Construction Fence Wire mesh</t>
  </si>
  <si>
    <t>Install Fence Wire Mesh ( Hot Dipped Galvanized ) H = 2.00 m.</t>
  </si>
  <si>
    <t xml:space="preserve"> - รั้ว SCG. Meshfence 2.40 x 1.90 m. สูง 2.00 เมตร ลวด 7 มม. เส้นตั้ง@ 10 cm. แผง 2.40 x 1.90 m.</t>
  </si>
  <si>
    <t xml:space="preserve"> - เสากลม Ø  2" หนา 2.9 mm. สูง 2.00 เมตร  พร้อมอุปกรณ์ยึด</t>
  </si>
  <si>
    <t xml:space="preserve"> - แผงรั้ว ขนาด 2.40 x 1.90 m. เส้นลวด 7 มม. ( สไตล์ Wave )</t>
  </si>
  <si>
    <t xml:space="preserve"> -  Plate - 12 x 12 cm. หนา 6 มม. พุ้กเหล็ก 4 ชุด(M12)</t>
  </si>
  <si>
    <t xml:space="preserve"> - ตอม่อคอนกรีต ขนาด 30x30x50 cm. ( หล่อในที่ ) ( 180 ksc.)</t>
  </si>
  <si>
    <t>Cowboy Fence</t>
  </si>
  <si>
    <t xml:space="preserve"> - Cowboy Fence (Beam)</t>
  </si>
  <si>
    <t xml:space="preserve"> - Cowboy Fence (Column) Type 2 Row</t>
  </si>
  <si>
    <t>Guardrail</t>
  </si>
  <si>
    <t>ชาฮกเกี้ยน</t>
  </si>
  <si>
    <t>plant</t>
  </si>
  <si>
    <t xml:space="preserve">Internal Road Work </t>
  </si>
  <si>
    <t>Remove existing road surface and scarify, re-compacted exsiting sub-base</t>
  </si>
  <si>
    <t>Excavation work</t>
  </si>
  <si>
    <t>Embankment</t>
  </si>
  <si>
    <t>Compacted Sub-base 200mm.thk. CBR. density 95% from unit weight</t>
  </si>
  <si>
    <t>Compacted base course crushed rock 150mm.thk minimum density of 95% the modified proctor</t>
  </si>
  <si>
    <t>Prime coat layer</t>
  </si>
  <si>
    <t>DBST. surface layer</t>
  </si>
  <si>
    <t>Road Sign</t>
  </si>
  <si>
    <t>No.</t>
  </si>
  <si>
    <t>SUMMARY TOTAL</t>
  </si>
  <si>
    <t>HONGSA POWER COMPANY LIMITED</t>
  </si>
  <si>
    <t>Date</t>
  </si>
  <si>
    <t>Project :</t>
  </si>
  <si>
    <t>Improvement Water Treatment Plant</t>
  </si>
  <si>
    <t>Estimate by</t>
  </si>
  <si>
    <t>Table :</t>
  </si>
  <si>
    <t>Phonechan Plant</t>
  </si>
  <si>
    <t>Printed :</t>
  </si>
  <si>
    <t>Labour</t>
  </si>
  <si>
    <t>Overall</t>
  </si>
  <si>
    <t>Detail</t>
  </si>
  <si>
    <t>Quantities</t>
  </si>
  <si>
    <t>Unit Cost</t>
  </si>
  <si>
    <t>Total</t>
  </si>
  <si>
    <t>Cost</t>
  </si>
  <si>
    <t>Remark</t>
  </si>
  <si>
    <t>(Baht)</t>
  </si>
  <si>
    <t>งาน Raw water Pump</t>
  </si>
  <si>
    <t>Grundfos Pump Model.CM10-1 A-R-A-E-AVBE F-A-A-N</t>
  </si>
  <si>
    <t>ข้อต่อสามทางลด (2-1/2” – 2”)</t>
  </si>
  <si>
    <t>EA</t>
  </si>
  <si>
    <t>ข้อต่อลด (2” – 1-1/2”)</t>
  </si>
  <si>
    <t>ข้อต่อสามทาง 2”</t>
  </si>
  <si>
    <t>Butterfly valve 2" Kitz G-10DJ/E-EPDM</t>
  </si>
  <si>
    <t>Dual check valve KISTLER 2" DCV-603 - EPDM</t>
  </si>
  <si>
    <t>หน้าแปลนเหล็ก 2”</t>
  </si>
  <si>
    <t xml:space="preserve">Strainer Cast iron 2” </t>
  </si>
  <si>
    <t>เฟล็กซ์ยางลอนเดี่ยว  American standard 2” - EPDM</t>
  </si>
  <si>
    <t>ท่อประปาคาดน้ำเงิน ชุบ HDG 2"</t>
  </si>
  <si>
    <t>ชุดควบคุม</t>
  </si>
  <si>
    <t>-  Latching relay WIP Model.W-LT2</t>
  </si>
  <si>
    <t>-  Selector Switch P1-ALT-P2</t>
  </si>
  <si>
    <t>-  Miniature circuit breaker (MCB) Schnider 1P,3A Model. A9F74102</t>
  </si>
  <si>
    <t>-  Magnetic contactor Schnider Coil 220VAC Model.LC1D09M7</t>
  </si>
  <si>
    <t>-  Overload Relay Schnider  Model.LRD06</t>
  </si>
  <si>
    <t>-  LED Pilot lamps Schnider 220VAC เขียว  Model.XB4BVM3</t>
  </si>
  <si>
    <t>-  LED Pilot lamps Schnider 220VAC แดง   Model.XB4BVM4</t>
  </si>
  <si>
    <t>-  MCCB Mitsubishi Model.NF30-CS-3P-10A</t>
  </si>
  <si>
    <t>-  ตู้สวิทช์บอร์ด แบบธรรมดา KBSS004</t>
  </si>
  <si>
    <t>-  Accessory and installation</t>
  </si>
  <si>
    <t>งานทำฐานมอเตอร์</t>
  </si>
  <si>
    <t>งานตัดเชื่อมขึ้นรูป</t>
  </si>
  <si>
    <t>งานชุดปั๊มผลิตน้ำ</t>
  </si>
  <si>
    <t>Grundfos Pump Model.CM15-3 A-R-A-E-AVBE F-A-A-N</t>
  </si>
  <si>
    <t>ข้อต่อสามทางลด (3” - 2-1/2”)</t>
  </si>
  <si>
    <t>ข้อต่อสามทาง 2-1/2”</t>
  </si>
  <si>
    <t>ข้อต่อลด (2-1/2”-2”)</t>
  </si>
  <si>
    <t>เฟล็กซ์ยางลอนเดี่ยว  American standard 2-1/2” - EPDM</t>
  </si>
  <si>
    <t xml:space="preserve">Strainer Cast iron 2-1/2” </t>
  </si>
  <si>
    <t>หน้าแปลนเหล็ก 2-1/2”</t>
  </si>
  <si>
    <t>Dual check valve KISTLER 2-1/2" DCV-603 - EPDM</t>
  </si>
  <si>
    <t>Butterfly valve 2-1/2" Kitz G-10DJ/E-EPDM</t>
  </si>
  <si>
    <t>ท่อประปาคาดน้ำเงิน ชุบ HDG 2-1/2"</t>
  </si>
  <si>
    <t>-  Overload Relay Schnider  Model.LRD14</t>
  </si>
  <si>
    <t xml:space="preserve">ชุดเติม PAC </t>
  </si>
  <si>
    <t>ชุดเครื่องกวนผสมสารเคมี 0.5 Hp, 380V</t>
  </si>
  <si>
    <t>ถัง PE รุ่น CEN-B ขนาด 500 ลิตร</t>
  </si>
  <si>
    <t>งานทำฐานถัง</t>
  </si>
  <si>
    <t>-  เหล็กรางน้ำ 100x50x7.5 mm.</t>
  </si>
  <si>
    <t>-  งานทาสีกันสนิม (รวมสีกันสมิน - สีน้ำเงิน)</t>
  </si>
  <si>
    <t>-  งานตัดเชื่อมขึ้นรูป</t>
  </si>
  <si>
    <t>-  Accessory</t>
  </si>
  <si>
    <t>ชุดเติม Chlorine</t>
  </si>
  <si>
    <t>งานเปลี่ยน Butterfly Valve Carbon filter</t>
  </si>
  <si>
    <t>อุปกรณ์อ่างน้ำดิบ</t>
  </si>
  <si>
    <t>เครื่องฉีดน้ำแรงดันสูง TOSAKI PWT-250-7.5</t>
  </si>
  <si>
    <t>ป๊มแช่แสตนเลส 2" Misubishi Model.SSP-405SA</t>
  </si>
  <si>
    <t>งานต่อเติมอาคารแพล้นน้ำ</t>
  </si>
  <si>
    <t>Demolish block wall</t>
  </si>
  <si>
    <t>Demolish block wall and plastering both side thick 10 cm</t>
  </si>
  <si>
    <t xml:space="preserve">Demolish double slide glass window / white color aluminium frame work </t>
  </si>
  <si>
    <t>Concrete 175 Ksc. cube (1:3:5)</t>
  </si>
  <si>
    <t xml:space="preserve">  - RB6  (SD24) 0.222 kg/m</t>
  </si>
  <si>
    <t>C 100x50x20x3.2 mm. (5.50 kg/m.)</t>
  </si>
  <si>
    <t xml:space="preserve">2C 150x75x20x3.2mm. (8.01 kg/m) </t>
  </si>
  <si>
    <t>C - Channel 200x80x7x11 mm. (24.60 kg/m.)</t>
  </si>
  <si>
    <t>[]  150x150x3.2 mm (13.67 kg/m)</t>
  </si>
  <si>
    <t>Plate 200x200x10 mm</t>
  </si>
  <si>
    <t>Architecturl work</t>
  </si>
  <si>
    <t>Wall</t>
  </si>
  <si>
    <t>1.5 CM. Plaster</t>
  </si>
  <si>
    <t>Vent Block Wall</t>
  </si>
  <si>
    <t>F1 Steel Trowel Finish</t>
  </si>
  <si>
    <t>Roman Tile 50x120x0.55 cm. Include insulation sheet (Brick Color Elephant Brand)</t>
  </si>
  <si>
    <t>CPAC Monier Hip End. (Elephant Brand, Brick Color)</t>
  </si>
  <si>
    <t>CPAC Monier Barge. 3 PCS/m (Elephant Brand, Brick Color)</t>
  </si>
  <si>
    <t>Eave and Fascia</t>
  </si>
  <si>
    <t xml:space="preserve"> - Fiber Cement Board 2.5x20 cm.</t>
  </si>
  <si>
    <t xml:space="preserve">  - Fiber Cement Board 2.5x15 cm.</t>
  </si>
  <si>
    <t>Door / Windows Included Hard Ware</t>
  </si>
  <si>
    <t>W1: Acrylic Interior Paint (White Color, TOA or Equal)</t>
  </si>
  <si>
    <t>RC gutter</t>
  </si>
  <si>
    <t>RC gutter around the building (On the ground)</t>
  </si>
  <si>
    <t>Grand Total</t>
  </si>
  <si>
    <t>CCTV System CNEEC Accom</t>
  </si>
  <si>
    <t xml:space="preserve">MATERIAL </t>
  </si>
  <si>
    <t xml:space="preserve">LABOUR </t>
  </si>
  <si>
    <t>CCTV SYSTEM</t>
  </si>
  <si>
    <t xml:space="preserve">1.1 Cable&amp;Wire </t>
  </si>
  <si>
    <t xml:space="preserve">       1.1 Lan  Cat.6 a F/FTP XG (500MHz)Cable LSZH Aqua Blue   </t>
  </si>
  <si>
    <t xml:space="preserve">       2 CAT6 UTP Cable (305m/Box) Link(US-9106 OUT) Outdoor -A0045960</t>
  </si>
  <si>
    <t xml:space="preserve"> Control System</t>
  </si>
  <si>
    <t>.2.1 HDD6TB SATA WD PURPLE For CCTV</t>
  </si>
  <si>
    <t xml:space="preserve">2.2  GIGABIT switch 8 Port </t>
  </si>
  <si>
    <t>2.3  POE Switch 8 Port</t>
  </si>
  <si>
    <t>2.4  Surge Protection</t>
  </si>
  <si>
    <t>2.5  CCTV Out door Cabenet</t>
  </si>
  <si>
    <t>2.6  จอมอนิเตอร์ LED 50"  Sharp</t>
  </si>
  <si>
    <t>2.7 Computor  PC  Corei 7 RAM 8G</t>
  </si>
  <si>
    <t xml:space="preserve">2.8 Fiber Optic 6 Core Brand LINK </t>
  </si>
  <si>
    <t xml:space="preserve">2.9  Medai Converter </t>
  </si>
  <si>
    <t xml:space="preserve">2.10   ค่าสไปร์ทสาย Fiber Optic &amp;Report </t>
  </si>
  <si>
    <t>2.11   Set Up System &amp; Program</t>
  </si>
  <si>
    <t>2.12   Accessory</t>
  </si>
  <si>
    <t>Lot</t>
  </si>
  <si>
    <t>RACE WAY</t>
  </si>
  <si>
    <t>3.1   1/2" EMT</t>
  </si>
  <si>
    <t>3.2   1" EMT</t>
  </si>
  <si>
    <t>3.3   Flexible Conduit 1"</t>
  </si>
  <si>
    <t>3.4   Flexible Conduit 1/2"</t>
  </si>
  <si>
    <t>3.5    PVC pipe  Corlor  White 1/2"</t>
  </si>
  <si>
    <t>3.6    PVC pipe  Corlor  White 1"</t>
  </si>
  <si>
    <t>3.7  HDPE Pipe OD 20 mm.</t>
  </si>
  <si>
    <t>3.8  HDPE Pipe OD 32 mm.</t>
  </si>
  <si>
    <t>2.1.5  Juction Box</t>
  </si>
  <si>
    <t xml:space="preserve">2.1.6   J Clamp Model. PA-JC066(PA-296) </t>
  </si>
  <si>
    <t>2.1.7 Fitting&amp;Accessory</t>
  </si>
  <si>
    <t>CCTV Camera</t>
  </si>
  <si>
    <t>4.1  CCTV Camera Model . DS-CD2635FWD-IZS</t>
  </si>
  <si>
    <t>4.2  NVR 32CH HIKVISION DS-9664NI-I8</t>
  </si>
  <si>
    <t xml:space="preserve">TOTAL </t>
  </si>
  <si>
    <t xml:space="preserve"> Artificial Grass Football Field  ( 9 Person )</t>
  </si>
  <si>
    <t xml:space="preserve"> Construction Artificial Grass Football Field  ( 9 Person )</t>
  </si>
  <si>
    <t>Clearing and preparation lelveling</t>
  </si>
  <si>
    <t>Sqm.</t>
  </si>
  <si>
    <t>Construction Artificial Grass Football Field   ( 33 x 53 m.)</t>
  </si>
  <si>
    <t>Venus-5001B120-BL-3/8 (หญ้าเทียม5ซม.รุ่น TOP ได้รับ FIFA Certificate)</t>
  </si>
  <si>
    <t>กาว + Jointape</t>
  </si>
  <si>
    <t>Infill ทรายละเอียด+เม็ดยางสังเคราะห์สีดำ3ซม.</t>
  </si>
  <si>
    <t>ระบบรองพื้นและระบายน้ำ</t>
  </si>
  <si>
    <t>Concrete curb 30x10cm</t>
  </si>
  <si>
    <t>งานท่อระบายน้ำขนาด 6"และ8" พร้อมบ่อพัก</t>
  </si>
  <si>
    <t>งานท่อระบายน้ำ Ne-o drain dia.65mm.</t>
  </si>
  <si>
    <t>งานบดอัดหิน3/4" และหินฝุ่น เพื่อปรับความเรียบของพื้นสนาม</t>
  </si>
  <si>
    <t>งานอื่นๆ</t>
  </si>
  <si>
    <t>เสาไฟคอนกรีตสูง 12เมตร</t>
  </si>
  <si>
    <t>ต้น</t>
  </si>
  <si>
    <t>ตาข่ายรอบสนามสูง10เมตรขนาด#24 ชนิดป้องกัน UV และประตูทางเข้า และโกล์พร้อมตาข่าย</t>
  </si>
  <si>
    <t>Electrical System</t>
  </si>
  <si>
    <t>Load Center</t>
  </si>
  <si>
    <t xml:space="preserve">Lighting Control Box </t>
  </si>
  <si>
    <t>Cable &amp;wire</t>
  </si>
  <si>
    <t>5.2.1</t>
  </si>
  <si>
    <t xml:space="preserve">IEC 60502-1 CV 0.5/1Kv 10 Sq.mm </t>
  </si>
  <si>
    <t>5.2.2</t>
  </si>
  <si>
    <t xml:space="preserve">IEC 60502-1 CV 0.5/1Kv 2.5 Sq.mm </t>
  </si>
  <si>
    <t>5.2.3</t>
  </si>
  <si>
    <t>THW(IEC01)  50 Sq.mm  Thai Yasaki Coler Green/Yewlow</t>
  </si>
  <si>
    <t>Raceway &amp; Conduit</t>
  </si>
  <si>
    <t>5.3.1</t>
  </si>
  <si>
    <t xml:space="preserve">PVC Pipe  1/2 " </t>
  </si>
  <si>
    <t>5.3.2</t>
  </si>
  <si>
    <t xml:space="preserve">PVC Pipe 1 " </t>
  </si>
  <si>
    <t>5.3.3</t>
  </si>
  <si>
    <t>HDPE Conduit Class 1/PN 6  1"</t>
  </si>
  <si>
    <t>5.3.4</t>
  </si>
  <si>
    <t>Pull Box   PB 8"x8"x4"(Pull Box พ่นสีฝุ่นหนา )</t>
  </si>
  <si>
    <t>5.3.5</t>
  </si>
  <si>
    <t>Pull Box   PB 4"x4"x4"(Pull Box พ่นสีฝุ่นหนา )</t>
  </si>
  <si>
    <t>5.3.6</t>
  </si>
  <si>
    <t>PVC Clip 1/2"</t>
  </si>
  <si>
    <t>5.3.7</t>
  </si>
  <si>
    <t>PVC Conduit Connector 1/2"</t>
  </si>
  <si>
    <t>5.3.8</t>
  </si>
  <si>
    <t>5.4.1</t>
  </si>
  <si>
    <t>LED Stadium Light 1000 W  BR-FL-100W-07-FA</t>
  </si>
  <si>
    <t>5.4.2</t>
  </si>
  <si>
    <t>Grounding</t>
  </si>
  <si>
    <t>5.5.1</t>
  </si>
  <si>
    <t>Grounding System &lt;5 ohm</t>
  </si>
  <si>
    <t>Job</t>
  </si>
  <si>
    <t>HV System &amp; Transformer</t>
  </si>
  <si>
    <t xml:space="preserve">1.1 Install Tranformer 500 Kva  </t>
  </si>
  <si>
    <t>Concrete Pole 12 m.</t>
  </si>
  <si>
    <t>Concrete Pole 8 m.</t>
  </si>
  <si>
    <t>Tranformer  500 Kva  Brand  Ekarat or Thai Trafo</t>
  </si>
  <si>
    <t>Remove &amp; Reinstall  Tranformer 500Kva</t>
  </si>
  <si>
    <t>Spun Presterssed Concrete 100x100x2500 mm.</t>
  </si>
  <si>
    <t>Beam Spun Presterssd Concrete 100x200x300 mm.</t>
  </si>
  <si>
    <t>Support Tranformer</t>
  </si>
  <si>
    <t>Brace Flart For Crossarm 30x6x760 mm.</t>
  </si>
  <si>
    <t>Bolt Machine M16x150mm.</t>
  </si>
  <si>
    <t>Bolt Machine M16x200mm.</t>
  </si>
  <si>
    <t>Bolt Machine M16x250mm.</t>
  </si>
  <si>
    <t>Double ArmingFull Threaded Bolt M16x260 mm.</t>
  </si>
  <si>
    <t>Dead End bayonet size 100x50x2,250 mm</t>
  </si>
  <si>
    <t>Overhead Bayonet  65x65x6 mm.2500mm</t>
  </si>
  <si>
    <t>Bolt Machine M16x350mm.</t>
  </si>
  <si>
    <t>Bolt Machine  Hexagron M16x550mm.</t>
  </si>
  <si>
    <t>Eye Nut Bolt 6"</t>
  </si>
  <si>
    <t xml:space="preserve">Ball Clevis Type K </t>
  </si>
  <si>
    <t>Socket Clevis type K</t>
  </si>
  <si>
    <t>Washer Square Flat 52x52x4.5 mm. Hole 18mm.TIS 258</t>
  </si>
  <si>
    <t>Insulater Linepote Type ANSI C29.7 Class57-2L</t>
  </si>
  <si>
    <t>LA 24 Kv. 10 KA.</t>
  </si>
  <si>
    <t>Drop Out Fuse 27 Kv 100 A</t>
  </si>
  <si>
    <t>Suspension Insulator 52-3, 10" ( 1set=3Ea )</t>
  </si>
  <si>
    <t>Strain Insulator 54-4(20000lbs)</t>
  </si>
  <si>
    <t>Preformed Dead End  SAC 50sq.mm</t>
  </si>
  <si>
    <t>Cement Concrete for Guy Set ,Size 50x50 cm, thick 15 cm</t>
  </si>
  <si>
    <t>Steel wire size 95 Sq.mm(for guy)TIS 404</t>
  </si>
  <si>
    <t>Steel wire size 25 Sq.mm(for OHGW)TIS 404</t>
  </si>
  <si>
    <t>PG Clamp size 25-95Sq.mm 2 Bolt</t>
  </si>
  <si>
    <t>Ground Wire Clamp -1152(OJ)</t>
  </si>
  <si>
    <t xml:space="preserve">Clamp Single U-Bolt M8 </t>
  </si>
  <si>
    <t>Guy Thimble for steel Eire 50-95 Sq.mm</t>
  </si>
  <si>
    <t xml:space="preserve">Conducter  SAC 50sq.mm </t>
  </si>
  <si>
    <t>Angle Thimble Eye Bolt M16x250 mm</t>
  </si>
  <si>
    <t>Eye Nut Forge Type M16</t>
  </si>
  <si>
    <t>Thimble Clevis Diamiter 16 mm</t>
  </si>
  <si>
    <t>Anchor Rod (Welded Type ) M16x2000 mm.</t>
  </si>
  <si>
    <t>Grounding System  Ref &lt;5 ohm</t>
  </si>
  <si>
    <t>Rack 4 Spool</t>
  </si>
  <si>
    <t>Spool Insulator 53-2</t>
  </si>
  <si>
    <t>Preformed Dead End  CV 120sq.mm</t>
  </si>
  <si>
    <t>Preformed Dead End  CV 185sq.mm</t>
  </si>
  <si>
    <t>Preformed Dead End  CV 70sq.mm</t>
  </si>
  <si>
    <t xml:space="preserve">Foundation and support </t>
  </si>
  <si>
    <t xml:space="preserve">CV-FD  300 sq.mm  </t>
  </si>
  <si>
    <t xml:space="preserve">CV-FD  150 sq.mm  </t>
  </si>
  <si>
    <t xml:space="preserve">IEC 01 (THW) 185 sq.mm  </t>
  </si>
  <si>
    <t xml:space="preserve">IEC 01 (THW) 95 sq.mm  </t>
  </si>
  <si>
    <t xml:space="preserve">IEC 01 (THW) 70 sq.mm  </t>
  </si>
  <si>
    <t>Witre Way &amp;Conduit</t>
  </si>
  <si>
    <t>Cable Ladder LH Type  ( Hot Dip Galvaniz) 500x100 x1000</t>
  </si>
  <si>
    <t>Service Entrance Cap 4"</t>
  </si>
  <si>
    <t>IMC  Pipe  4"</t>
  </si>
  <si>
    <t>HDPE  Pipe 110 mm. Class I /PN 6</t>
  </si>
  <si>
    <t>HDPE Conecting  110 mm. Type B (ข้อต่อท่อHDPE 4" เกลียวใน)</t>
  </si>
  <si>
    <t>90 HDPE Conduit Bend   110 mm. PN6.3  (ท่อโค้งไฟฟ้าพีอี 90องศา)</t>
  </si>
  <si>
    <t xml:space="preserve"> Accessory &amp; Support</t>
  </si>
  <si>
    <t xml:space="preserve">MDB  </t>
  </si>
  <si>
    <t>ACB 800 AT,3P IC&gt;=65 KA</t>
  </si>
  <si>
    <t>MCCB 400 AT,3P IC&gt;=36 KA</t>
  </si>
  <si>
    <t>MCCB 350 AT,3P IC&gt;=36 KA</t>
  </si>
  <si>
    <t>MCCB 100 AT,3P IC&gt;=36 KA</t>
  </si>
  <si>
    <t>MDB Cabinet Outdoor (ตู้ MDB Outdoor)</t>
  </si>
  <si>
    <t xml:space="preserve">Copper Busbar </t>
  </si>
  <si>
    <t>Meter</t>
  </si>
  <si>
    <t>wiring&amp;Accessories</t>
  </si>
  <si>
    <t>Foundation and support MBD</t>
  </si>
  <si>
    <t>Copper Lugs single Hole  for Cable 300 Sq.mm</t>
  </si>
  <si>
    <t>Copper Lugs single Hole  for Cable 185 Sq.mm</t>
  </si>
  <si>
    <t>Copper Lugs single Hole  for Cable 150 Sq.mm</t>
  </si>
  <si>
    <t>Copper Lugs single Hole  for Cable 95 Sq.mm</t>
  </si>
  <si>
    <t>Copper Lugs single Hole  for Cable 70 Sq.mm</t>
  </si>
  <si>
    <t>แคล้มทองเหลือง 2 สกรู150-185 Sq.mm</t>
  </si>
  <si>
    <t>แคล้มทองเหลือง 2 สกรู 95-120 Sq.mm</t>
  </si>
  <si>
    <t xml:space="preserve">Street Lighting </t>
  </si>
  <si>
    <t>LED Street lighting solar cell 400W(Warm white) Randy Model. Ultra Solar cell</t>
  </si>
  <si>
    <t>Street Light  bracket : Adjustable Type Model.SC25GC20</t>
  </si>
  <si>
    <t xml:space="preserve">Nut&amp; Bolt </t>
  </si>
  <si>
    <t>Uint</t>
  </si>
  <si>
    <t>SR.OFFICER TYPE</t>
  </si>
  <si>
    <t>OFFICER TYPE</t>
  </si>
  <si>
    <t>FCP SYSTEMS</t>
  </si>
  <si>
    <t xml:space="preserve"> Fire Alarm Terminal Box</t>
  </si>
  <si>
    <t xml:space="preserve"> Manual Station </t>
  </si>
  <si>
    <t xml:space="preserve">Cable&amp;Wire </t>
  </si>
  <si>
    <t>- FR 2C-2.5 sq.mm</t>
  </si>
  <si>
    <t>- VCT 2C - 1.5 Sqmm,</t>
  </si>
  <si>
    <t>Race way</t>
  </si>
  <si>
    <t>- 1/2" EMT</t>
  </si>
  <si>
    <t>-  Flexible Conduit 1/2"</t>
  </si>
  <si>
    <t>Fitting&amp;Accessory</t>
  </si>
  <si>
    <t>Officer Type</t>
  </si>
  <si>
    <t>1.9 Race way</t>
  </si>
  <si>
    <t>- Flexible Conduit 1/2"</t>
  </si>
  <si>
    <t>FCP Systems</t>
  </si>
  <si>
    <t>- FR 2C- 16 sq.mm</t>
  </si>
  <si>
    <t>- FR 2C- 2.5 sq.mm</t>
  </si>
  <si>
    <t>1.2 Control System</t>
  </si>
  <si>
    <t>- Intelligent Fire Alarm Cotrol Panal  Model .NFS-320 Brand. NOTIFIER</t>
  </si>
  <si>
    <t xml:space="preserve">- Grafhic Annunciator Board </t>
  </si>
  <si>
    <t>-  1/2" EMT</t>
  </si>
  <si>
    <t xml:space="preserve">- J Clamp Model. PA-JC066(PA-296) </t>
  </si>
  <si>
    <t>Construction of GYM</t>
  </si>
  <si>
    <t>Structural Work</t>
  </si>
  <si>
    <t>Architectural Work</t>
  </si>
  <si>
    <t>Electrical &amp; Communication Work</t>
  </si>
  <si>
    <t>Air Condition &amp; Ventilation Work</t>
  </si>
  <si>
    <t>Landscape Work</t>
  </si>
  <si>
    <t>12.1.1</t>
  </si>
  <si>
    <t>Earth Work</t>
  </si>
  <si>
    <t xml:space="preserve"> Excavation &amp; Backfill</t>
  </si>
  <si>
    <t>m3.</t>
  </si>
  <si>
    <t>Compacted Sand under Concrete Footing</t>
  </si>
  <si>
    <t>12.1.2</t>
  </si>
  <si>
    <t xml:space="preserve">Concrete &amp; Form Work </t>
  </si>
  <si>
    <t xml:space="preserve">  Lean Concrete 5 cm. thickness</t>
  </si>
  <si>
    <t>Cast‐in‐Place  Structure Concrete  , fc'240 ksc.(Cylinder)</t>
  </si>
  <si>
    <t xml:space="preserve">Form Work </t>
  </si>
  <si>
    <t>m2.</t>
  </si>
  <si>
    <t>Nail &amp; wire</t>
  </si>
  <si>
    <t>kg.</t>
  </si>
  <si>
    <t>12.1.3</t>
  </si>
  <si>
    <t>Reinforcing Steel Work</t>
  </si>
  <si>
    <t xml:space="preserve">Round bar diameter 6mm., SR24/ RC </t>
  </si>
  <si>
    <t xml:space="preserve">Round bar diameter 9mm., SR24/ RC </t>
  </si>
  <si>
    <t xml:space="preserve">Deformed bar diameter 12 mm., DB30/ RC  </t>
  </si>
  <si>
    <t xml:space="preserve">Deformed bar diameter 16 mm., DB30/ RC  </t>
  </si>
  <si>
    <t xml:space="preserve">Deformed bar diameter 20 mm., DB30/ RC  </t>
  </si>
  <si>
    <t xml:space="preserve">Steel wire </t>
  </si>
  <si>
    <t>12.1.4</t>
  </si>
  <si>
    <t>Structural Metal Framing Work</t>
  </si>
  <si>
    <t>[]-150x150x3.2mm.(14.54kg.m.)</t>
  </si>
  <si>
    <t>[]-200x100x3.2 mm.( 14.54 kg.m.)</t>
  </si>
  <si>
    <t>[]-150x50x3.2mm.(9.63kg.m.)</t>
  </si>
  <si>
    <t>[]-100x50x3.2 mm.( 7.01kg.m.)</t>
  </si>
  <si>
    <t>STEEL  PLATE 250x250x15mm. (6-Bolt Dai.20 mm.)</t>
  </si>
  <si>
    <t>FRABICATION&amp; INSTALLATION COST</t>
  </si>
  <si>
    <t>m2</t>
  </si>
  <si>
    <t>12.1.5</t>
  </si>
  <si>
    <t xml:space="preserve">Roof Work </t>
  </si>
  <si>
    <t xml:space="preserve"> Insulated Metal sheet Roof 0.47 mm. thickness, bolt system.
- Insulation ; 1”EPS or PUFoam thickness  , Cover with Aluminum Foil Surface.</t>
  </si>
  <si>
    <t>sq.m.</t>
  </si>
  <si>
    <t>Sky white ice clear roof sheet</t>
  </si>
  <si>
    <t>Flashing</t>
  </si>
  <si>
    <t>Eave</t>
  </si>
  <si>
    <t xml:space="preserve"> Architectural Work </t>
  </si>
  <si>
    <t>12.2.1</t>
  </si>
  <si>
    <t xml:space="preserve">  Floor Finishing  </t>
  </si>
  <si>
    <t>GF1 Floor harden top with epdm20mm</t>
  </si>
  <si>
    <t>GF2 Light grey stone granite tile 60*60cm (NON-SLIP SURFACE)</t>
  </si>
  <si>
    <t>GF3 Washed gravel 2color pattern</t>
  </si>
  <si>
    <t>12.2.2</t>
  </si>
  <si>
    <t xml:space="preserve"> Wall &amp; Partition  </t>
  </si>
  <si>
    <t>GP1 Brick wall</t>
  </si>
  <si>
    <t xml:space="preserve">GP2 white wall tile 30x60cm </t>
  </si>
  <si>
    <t>GP3  Tile 6"x24"</t>
  </si>
  <si>
    <t>Smooth wall plastering</t>
  </si>
  <si>
    <t>concrete fins 0.15x.25m.</t>
  </si>
  <si>
    <t>H beam 250x250 with artificial wooden8"</t>
  </si>
  <si>
    <t>12.2.3</t>
  </si>
  <si>
    <t xml:space="preserve">  Door &amp; Window  </t>
  </si>
  <si>
    <t>PD1 Doube swing door</t>
  </si>
  <si>
    <t>set.</t>
  </si>
  <si>
    <t>PD2  Single open door</t>
  </si>
  <si>
    <t>PD3  Single open door</t>
  </si>
  <si>
    <t xml:space="preserve">PW1  Fixed glass </t>
  </si>
  <si>
    <t xml:space="preserve">PW2 Fixed glass </t>
  </si>
  <si>
    <t xml:space="preserve">PW3  Fixed glass </t>
  </si>
  <si>
    <t xml:space="preserve">PW4  Fixed glass </t>
  </si>
  <si>
    <t>12.2.4</t>
  </si>
  <si>
    <t xml:space="preserve"> Toilet &amp; Sanitary Fixtures   </t>
  </si>
  <si>
    <t xml:space="preserve">toilet </t>
  </si>
  <si>
    <t>Basin</t>
  </si>
  <si>
    <t>Urinal</t>
  </si>
  <si>
    <t>Rinsing spray</t>
  </si>
  <si>
    <t>Box for tissue</t>
  </si>
  <si>
    <t>Ceramic Stop valve 90 Degree   CT179( HM  )</t>
  </si>
  <si>
    <t>Ceramic Stop valve 90 Degree    3 way  CT128 (HM )</t>
  </si>
  <si>
    <t>Stainless Floor Drain ( SANA 3")</t>
  </si>
  <si>
    <t>Frameless Mirrow(Beveling flat edge technique)  2x0.90 m.</t>
  </si>
  <si>
    <t>12.2.5</t>
  </si>
  <si>
    <t>Counter top black granite</t>
  </si>
  <si>
    <t xml:space="preserve">Counter top  2.6 x 0.60 m. </t>
  </si>
  <si>
    <t>Counter top  2.0 x 0.60 m.</t>
  </si>
  <si>
    <t>Counter skirt  0.15*4 m</t>
  </si>
  <si>
    <t>12.2.6</t>
  </si>
  <si>
    <t xml:space="preserve">Ceiling  </t>
  </si>
  <si>
    <t xml:space="preserve">GC1 Gypsum Board  Ceiling  9 mm. (moisture protection type) with galv. Steel  </t>
  </si>
  <si>
    <t>GC2 Gypsum Board  and artificial wooden pattern 0.5x3 "</t>
  </si>
  <si>
    <t>GC3 Gypsum Board  and artificial wooden pattern 0.5x3 "out door</t>
  </si>
  <si>
    <t>12.2.7</t>
  </si>
  <si>
    <t xml:space="preserve">Painting   </t>
  </si>
  <si>
    <t>Exterior Painting</t>
  </si>
  <si>
    <t>Interior Painting</t>
  </si>
  <si>
    <t>Anti-Rusty Painting</t>
  </si>
  <si>
    <t>Top Coat Steel Painting</t>
  </si>
  <si>
    <t>12.3.1</t>
  </si>
  <si>
    <t>Panel Board</t>
  </si>
  <si>
    <t>- LP-GYM 12 ckt. Main 40A. 3P. 25 kA.</t>
  </si>
  <si>
    <t>- Miniature CB. 1P. 16-40A. 6 kA.</t>
  </si>
  <si>
    <t>- Miniature RCBO 1P. 16A. 6 kA.</t>
  </si>
  <si>
    <t>- Grounding</t>
  </si>
  <si>
    <t>- Accessories</t>
  </si>
  <si>
    <t>12.3.2</t>
  </si>
  <si>
    <t>Lighting Fixture</t>
  </si>
  <si>
    <t xml:space="preserve">- DECORATIVE HANGING LAMP LED 36W. White Body Warmwhite Color </t>
  </si>
  <si>
    <t xml:space="preserve">   " Luzino VIVA OP36/60K(WH)"</t>
  </si>
  <si>
    <t>- DOWNLIGHT  MR16 5-5.5 W  Surface Mounted  Warmwhite Color</t>
  </si>
  <si>
    <t xml:space="preserve">- Up-Down LED 2 x 1 W 12V.  Warmwhite Color Installedin Steel Column </t>
  </si>
  <si>
    <t>12.3.3</t>
  </si>
  <si>
    <t>สวิตช์และเต้ารับไฟฟ้า (Switch &amp; Receptacle Outlet)</t>
  </si>
  <si>
    <t>- 1-Gang Single Switch</t>
  </si>
  <si>
    <t>- 2-Gang Single Switch</t>
  </si>
  <si>
    <t>- 3-Gang Single Switch</t>
  </si>
  <si>
    <t xml:space="preserve">- 1-Gang Switch Water Proof </t>
  </si>
  <si>
    <t>- Duplex Receptacle , 2P+G 15A.</t>
  </si>
  <si>
    <t>- Duplex Receptacle , 2P+G , 15A. (POP-UP)</t>
  </si>
  <si>
    <t>- Duplex Receptacle , 2P+G , Waterpoof</t>
  </si>
  <si>
    <t>12.3.4</t>
  </si>
  <si>
    <t>Conduit &amp; Raceway , Feeder &amp; Brach Circuit</t>
  </si>
  <si>
    <t>- IMC 1/2"</t>
  </si>
  <si>
    <t>- EMT 1/2"</t>
  </si>
  <si>
    <t>- Support + Hanger</t>
  </si>
  <si>
    <t>12.3.5</t>
  </si>
  <si>
    <t>Wire&amp;Cable , Feeder &amp; Brach Circuit</t>
  </si>
  <si>
    <t>- IEC 01 2.5 sqmm.</t>
  </si>
  <si>
    <t>- IEC 01 4 sqmm.</t>
  </si>
  <si>
    <t>หมวดงานระบบปรับอากาศ ( Air Condition SPLIT TYPE SYSTEM )</t>
  </si>
  <si>
    <t>12.4.1</t>
  </si>
  <si>
    <t>FANCOIL UNIT</t>
  </si>
  <si>
    <t>( Wall Mounted ) 30,000 BTU</t>
  </si>
  <si>
    <t>Support W/Vibration Isolator</t>
  </si>
  <si>
    <t>12.4.2</t>
  </si>
  <si>
    <t>PIPING  WORKS</t>
  </si>
  <si>
    <t>REFRIGERANT PIPE</t>
  </si>
  <si>
    <t>COPPER TUBE PANCAKE COIL #22</t>
  </si>
  <si>
    <t>Ø 3/8" (9.5)       ( Nominal OD.) #22</t>
  </si>
  <si>
    <t>Ø 5/8" (15.9)     ( Nominal OD.) #22</t>
  </si>
  <si>
    <t>Fitting</t>
  </si>
  <si>
    <t>12.4.3</t>
  </si>
  <si>
    <t>Hanger &amp; Support for Piping Work</t>
  </si>
  <si>
    <t>CLOSED CELL INSULATION REFRIGERANT PIPE</t>
  </si>
  <si>
    <t>REFRIGERANT PIPE INSULATION 1/2" THICK</t>
  </si>
  <si>
    <t xml:space="preserve">Ø 3/8" ( 1238 )       ( Insulation Thick 1/2" )   </t>
  </si>
  <si>
    <t xml:space="preserve">Ø 5/8" ( 1258 )       ( Insulation Thick 1/2" )   </t>
  </si>
  <si>
    <t>Insulation Tape &amp; Adhesive</t>
  </si>
  <si>
    <t>12.4.4</t>
  </si>
  <si>
    <t>DRAIN PIPING ( PVC CLASS 8.5 )</t>
  </si>
  <si>
    <t>Ø 1" (25)        ( Class 8.5 )</t>
  </si>
  <si>
    <t>12.4.5</t>
  </si>
  <si>
    <t>CLOSED CELL INSULATION DRAIN PIPE</t>
  </si>
  <si>
    <t>Ø 1" ( 38138 )        ( Insulation Thick 3/8" )</t>
  </si>
  <si>
    <t>12.4.6</t>
  </si>
  <si>
    <t>ACCESSORIES</t>
  </si>
  <si>
    <t>Slim Ductr ( Product MIZU No. 99 )</t>
  </si>
  <si>
    <t>Coring wall</t>
  </si>
  <si>
    <t>Point</t>
  </si>
  <si>
    <t>12.4.7</t>
  </si>
  <si>
    <t>ELECTRICAL WORK</t>
  </si>
  <si>
    <t>CONTROL SYSTEMS</t>
  </si>
  <si>
    <t>Wireless Remote Controller</t>
  </si>
  <si>
    <t>12.4.8</t>
  </si>
  <si>
    <t>ELECTRICAL WIRE &amp; CABLE</t>
  </si>
  <si>
    <t xml:space="preserve">Cable THW (IEC01) Ø 2.5 SQ.MM. </t>
  </si>
  <si>
    <t>4 Core VCT Ø 2.5 SQ.MM.</t>
  </si>
  <si>
    <t>Accessories Cable</t>
  </si>
  <si>
    <t>12.4.9</t>
  </si>
  <si>
    <t>OTHER</t>
  </si>
  <si>
    <t>Finishing and Cleaning</t>
  </si>
  <si>
    <t xml:space="preserve">Accessories  </t>
  </si>
  <si>
    <t>หมวดงานระบบระบายอากาศ( VENTILATION SYSTEMS )</t>
  </si>
  <si>
    <t>VENTILATION  UNIT</t>
  </si>
  <si>
    <t>Ceiling Mount Type 50 CFM</t>
  </si>
  <si>
    <t>CONTROL PANEL BOARD, BREAKER, SAFETY SWITCH</t>
  </si>
  <si>
    <t>On-Off Switch</t>
  </si>
  <si>
    <t>CONDUIT &amp; FLEXIBLE</t>
  </si>
  <si>
    <t>Conduit  EMT</t>
  </si>
  <si>
    <t>Conduit  EMT Ø 1/2"</t>
  </si>
  <si>
    <t>Flexible Conduit</t>
  </si>
  <si>
    <t>Flexible Conduit Ø 1/2"</t>
  </si>
  <si>
    <t>Fiiting &amp; Accessories</t>
  </si>
  <si>
    <t>Hanger &amp; Support</t>
  </si>
  <si>
    <t>DUCTING WORK</t>
  </si>
  <si>
    <t>GALVANIZED STEEL SHEET</t>
  </si>
  <si>
    <t>Ø 4" (100)      (PVC  Class 5.5 )</t>
  </si>
  <si>
    <t>FLEXIBLE DUCT W/ INSULATION</t>
  </si>
  <si>
    <t>Flex Ø 4"</t>
  </si>
  <si>
    <t>AIR REGISTER</t>
  </si>
  <si>
    <t>Exhuast Air Register</t>
  </si>
  <si>
    <t>Duct Cap 4" W/ISC.</t>
  </si>
  <si>
    <t>12.5.1</t>
  </si>
  <si>
    <t>Cold Water Supply Pipe System</t>
  </si>
  <si>
    <t>PP-R PIPE SDR11 PN10, DIN 8077/78</t>
  </si>
  <si>
    <t xml:space="preserve">DIAMETER 1-1/2" </t>
  </si>
  <si>
    <t xml:space="preserve">DIAMETER 1-1/4" </t>
  </si>
  <si>
    <t xml:space="preserve">DIAMETER 1" </t>
  </si>
  <si>
    <t xml:space="preserve">DIAMETER 3/4" </t>
  </si>
  <si>
    <t xml:space="preserve">DIAMETER 1/2" </t>
  </si>
  <si>
    <t>PIPE FITTING</t>
  </si>
  <si>
    <t>lot.</t>
  </si>
  <si>
    <t>PIPE HANGER AND SUPPORT</t>
  </si>
  <si>
    <t>PIPE PAINTING</t>
  </si>
  <si>
    <t>12.5.2</t>
  </si>
  <si>
    <t>GATE VALVES</t>
  </si>
  <si>
    <t>12.5.3</t>
  </si>
  <si>
    <t>CHECK VALVES</t>
  </si>
  <si>
    <t>12.5.4</t>
  </si>
  <si>
    <t>WATER METER</t>
  </si>
  <si>
    <t>12.5.5</t>
  </si>
  <si>
    <t>HOSE BIBB</t>
  </si>
  <si>
    <t>12.5.6</t>
  </si>
  <si>
    <t>Soil,Waste and Vent Pipe System</t>
  </si>
  <si>
    <t>PVC PIPE CLASS 8.5 TIS.17-2524(2532)</t>
  </si>
  <si>
    <t xml:space="preserve">DIAMETER 4" </t>
  </si>
  <si>
    <t xml:space="preserve">DIAMETER 3" </t>
  </si>
  <si>
    <t xml:space="preserve">DIAMETER 2 1/2" </t>
  </si>
  <si>
    <t xml:space="preserve">DIAMETER 2" </t>
  </si>
  <si>
    <t xml:space="preserve">DIAMETER 1 1/2" </t>
  </si>
  <si>
    <t>12.5.7</t>
  </si>
  <si>
    <t>FLOOR DRAIN</t>
  </si>
  <si>
    <t>12.5.8</t>
  </si>
  <si>
    <t>FLOOR CLEAN OUT</t>
  </si>
  <si>
    <t>12.5.9</t>
  </si>
  <si>
    <t>VENT CAP</t>
  </si>
  <si>
    <t>12.5.10</t>
  </si>
  <si>
    <t>FLEXIBLE CONNECTOR</t>
  </si>
  <si>
    <t>TRAP MANHOLE</t>
  </si>
  <si>
    <t>SEEP</t>
  </si>
  <si>
    <t>12.5.11</t>
  </si>
  <si>
    <t>Wastewater Treatment System</t>
  </si>
  <si>
    <t>WASTEWATER TREATMENT TANK</t>
  </si>
  <si>
    <t>CAP. 1 CU.M./DAY</t>
  </si>
  <si>
    <t>12.5.12</t>
  </si>
  <si>
    <t>Fire Protection System</t>
  </si>
  <si>
    <t>FIRE EXTINGUISHER CABINET</t>
  </si>
  <si>
    <t>หมวดงานภูมิสถาปัตย์ (Landscape Work)</t>
  </si>
  <si>
    <t>Malasian grass</t>
  </si>
  <si>
    <t>sq.m</t>
  </si>
  <si>
    <t>River rock</t>
  </si>
  <si>
    <t>Champa lao tree dia0.15</t>
  </si>
  <si>
    <t>Kasalong tree dia 0.125</t>
  </si>
  <si>
    <t>Gardenia 0.80m</t>
  </si>
  <si>
    <t>Korean banyan 1.5m</t>
  </si>
  <si>
    <t>Construction EGAT O&amp;M Accommodation of damage from earthquake nov 2019</t>
  </si>
  <si>
    <t>Mr.Weerawat Chaisalee</t>
  </si>
  <si>
    <t>OVERHEAD AND PROFIT</t>
  </si>
  <si>
    <t>TOTAL (THB)</t>
  </si>
  <si>
    <t>Thanapat Kanchanavilai</t>
  </si>
  <si>
    <t>1.5 CM. PLASTER</t>
  </si>
  <si>
    <r>
      <t xml:space="preserve">Ceramic Tile 200x250mm. </t>
    </r>
    <r>
      <rPr>
        <b/>
        <sz val="14"/>
        <rFont val="Cordia New"/>
        <family val="2"/>
      </rPr>
      <t>(White Color, Duragres) (Toilet)</t>
    </r>
  </si>
  <si>
    <r>
      <t xml:space="preserve">0.07x0.10 M.Lintel </t>
    </r>
    <r>
      <rPr>
        <b/>
        <sz val="14"/>
        <rFont val="Cordia New"/>
        <family val="2"/>
      </rPr>
      <t>(Material Include Structure Item)</t>
    </r>
  </si>
  <si>
    <r>
      <t xml:space="preserve">F1 Ceramic Tile 300x300 mm. </t>
    </r>
    <r>
      <rPr>
        <b/>
        <sz val="14"/>
        <rFont val="Cordia New"/>
        <family val="2"/>
      </rPr>
      <t>(NON SLIP White Color, COTTO)</t>
    </r>
  </si>
  <si>
    <r>
      <t>F2 Ceramic Tile 200x200mm.</t>
    </r>
    <r>
      <rPr>
        <b/>
        <sz val="14"/>
        <rFont val="Cordia New"/>
        <family val="2"/>
      </rPr>
      <t>(NON SLIP)</t>
    </r>
  </si>
  <si>
    <r>
      <t xml:space="preserve">C1; T-Bar, Gypsum Board 6 mm. </t>
    </r>
    <r>
      <rPr>
        <b/>
        <sz val="14"/>
        <rFont val="Cordia New"/>
        <family val="2"/>
      </rPr>
      <t>(Elephant Brand)</t>
    </r>
  </si>
  <si>
    <r>
      <t xml:space="preserve">C2; T-Bar, Gypsum Board 6 mm. Moisturized Resistance </t>
    </r>
    <r>
      <rPr>
        <b/>
        <sz val="14"/>
        <rFont val="Cordia New"/>
        <family val="2"/>
      </rPr>
      <t>(Elephant Brand)</t>
    </r>
  </si>
  <si>
    <r>
      <t xml:space="preserve">C4; Smart Board 4 mm. Striped With Frame GALV.Steel 0.55 mm.thk.. </t>
    </r>
    <r>
      <rPr>
        <b/>
        <sz val="14"/>
        <rFont val="Cordia New"/>
        <family val="2"/>
      </rPr>
      <t>(Elephant Brand)</t>
    </r>
  </si>
  <si>
    <r>
      <t xml:space="preserve">C5; Ventilate Smart Board 4 mm. Striped With Frame GALV.Steel 0.55 mm.thk.. </t>
    </r>
    <r>
      <rPr>
        <b/>
        <sz val="14"/>
        <rFont val="Cordia New"/>
        <family val="2"/>
      </rPr>
      <t>(Elephant Brand)</t>
    </r>
  </si>
  <si>
    <t>Roofing Area</t>
  </si>
  <si>
    <r>
      <t xml:space="preserve">Roman Tile 50x120x0.55 cm. Include insulation sheet </t>
    </r>
    <r>
      <rPr>
        <b/>
        <sz val="14"/>
        <rFont val="Cordia New"/>
        <family val="2"/>
      </rPr>
      <t>(Brown Color Elephant Brand)</t>
    </r>
  </si>
  <si>
    <r>
      <t xml:space="preserve">CPAC Monier Round Ridge 3.3 PCS/m  </t>
    </r>
    <r>
      <rPr>
        <b/>
        <sz val="14"/>
        <rFont val="Cordia New"/>
        <family val="2"/>
      </rPr>
      <t>(Brown Color Elephant Brand)</t>
    </r>
  </si>
  <si>
    <r>
      <t xml:space="preserve">CPAC Monier Round Hip Ridge 3.3 PCS/m  </t>
    </r>
    <r>
      <rPr>
        <b/>
        <sz val="14"/>
        <rFont val="Cordia New"/>
        <family val="2"/>
      </rPr>
      <t>(Brown Color Elephant Brand)</t>
    </r>
  </si>
  <si>
    <r>
      <t xml:space="preserve">CPAC Monier Hip End. </t>
    </r>
    <r>
      <rPr>
        <b/>
        <sz val="14"/>
        <rFont val="Cordia New"/>
        <family val="2"/>
      </rPr>
      <t>(Elephant Brand, Brown Color)</t>
    </r>
  </si>
  <si>
    <r>
      <t xml:space="preserve">CPAC Monier Ridge End. </t>
    </r>
    <r>
      <rPr>
        <b/>
        <sz val="14"/>
        <rFont val="Cordia New"/>
        <family val="2"/>
      </rPr>
      <t>(Elephant Brand, Brown Color)</t>
    </r>
  </si>
  <si>
    <r>
      <t xml:space="preserve">CPAC Monier Barge. 3 PCS/m </t>
    </r>
    <r>
      <rPr>
        <b/>
        <sz val="14"/>
        <rFont val="Cordia New"/>
        <family val="2"/>
      </rPr>
      <t>(Elephant Brand, Brown Color)</t>
    </r>
  </si>
  <si>
    <r>
      <t xml:space="preserve">Eave Filler Set 1EA. = 10 PCS. </t>
    </r>
    <r>
      <rPr>
        <b/>
        <sz val="14"/>
        <rFont val="Cordia New"/>
        <family val="2"/>
      </rPr>
      <t>(Elephant Brand)</t>
    </r>
  </si>
  <si>
    <r>
      <t xml:space="preserve">D1  ALUMINIUM DOOR 2-80X200 CM.,SWING. </t>
    </r>
    <r>
      <rPr>
        <b/>
        <sz val="14"/>
        <rFont val="CordiaUPC"/>
        <family val="2"/>
      </rPr>
      <t xml:space="preserve"> Included Equipment</t>
    </r>
  </si>
  <si>
    <r>
      <t xml:space="preserve">D3  PVC DOOR 70x180 CM. </t>
    </r>
    <r>
      <rPr>
        <b/>
        <sz val="14"/>
        <rFont val="CordiaUPC"/>
        <family val="2"/>
      </rPr>
      <t xml:space="preserve"> Included Equipment</t>
    </r>
  </si>
  <si>
    <r>
      <t xml:space="preserve">D4  HARD WOOD DOOR 80x200 CM. </t>
    </r>
    <r>
      <rPr>
        <b/>
        <sz val="14"/>
        <rFont val="CordiaUPC"/>
        <family val="2"/>
      </rPr>
      <t xml:space="preserve"> Included Equipment</t>
    </r>
  </si>
  <si>
    <r>
      <t xml:space="preserve">D5  HARD WOOD DOOR 80x200 CM </t>
    </r>
    <r>
      <rPr>
        <b/>
        <sz val="14"/>
        <rFont val="CordiaUPC"/>
        <family val="2"/>
      </rPr>
      <t xml:space="preserve"> Included Equipment</t>
    </r>
  </si>
  <si>
    <r>
      <t xml:space="preserve">W1  Aluminum Sliding Window  120x110 cm. Clear Glass 6 mm. thk. </t>
    </r>
    <r>
      <rPr>
        <b/>
        <sz val="14"/>
        <rFont val="CordiaUPC"/>
        <family val="2"/>
      </rPr>
      <t>Incloded Equipment, Mosquito wire screen</t>
    </r>
  </si>
  <si>
    <r>
      <t xml:space="preserve"> W1: Acrylic Interior Paint </t>
    </r>
    <r>
      <rPr>
        <b/>
        <sz val="14"/>
        <rFont val="Cordia New"/>
        <family val="2"/>
      </rPr>
      <t>(White Color, TOA or Equal)</t>
    </r>
  </si>
  <si>
    <r>
      <t xml:space="preserve"> W1: Acrylic Exterior Paint </t>
    </r>
    <r>
      <rPr>
        <b/>
        <sz val="14"/>
        <rFont val="Cordia New"/>
        <family val="2"/>
      </rPr>
      <t>(White Color, TOA or Equal)</t>
    </r>
  </si>
  <si>
    <r>
      <t xml:space="preserve"> C3: Acrylic Interior Paint </t>
    </r>
    <r>
      <rPr>
        <b/>
        <sz val="14"/>
        <rFont val="Cordia New"/>
        <family val="2"/>
      </rPr>
      <t>(White Color, TOA or Equal)</t>
    </r>
  </si>
  <si>
    <r>
      <t xml:space="preserve"> C4: Acrylic Exterior Paint </t>
    </r>
    <r>
      <rPr>
        <b/>
        <sz val="14"/>
        <rFont val="Cordia New"/>
        <family val="2"/>
      </rPr>
      <t>(White Color, TOA or Equal)</t>
    </r>
  </si>
  <si>
    <r>
      <t xml:space="preserve"> C5: Acrylic Exterior Paint </t>
    </r>
    <r>
      <rPr>
        <b/>
        <sz val="14"/>
        <rFont val="Cordia New"/>
        <family val="2"/>
      </rPr>
      <t>(White Color, TOA or Equal)</t>
    </r>
  </si>
  <si>
    <r>
      <t xml:space="preserve">ENAMEL PAINT </t>
    </r>
    <r>
      <rPr>
        <b/>
        <sz val="14"/>
        <rFont val="Cordia New"/>
        <family val="2"/>
      </rPr>
      <t>(Brown Color, TOA or Equal)</t>
    </r>
  </si>
  <si>
    <r>
      <t xml:space="preserve">Counter Concrete 0.60x0.80x2.00 m. </t>
    </r>
    <r>
      <rPr>
        <b/>
        <sz val="14"/>
        <rFont val="Cordia New"/>
        <family val="2"/>
      </rPr>
      <t>(Included Ceramic Tile 0.20x0.20 m. and Hard ware)</t>
    </r>
  </si>
  <si>
    <t>Mr.Wongsathorn Trakoonsantimaitree</t>
  </si>
  <si>
    <t>TYPE E</t>
  </si>
  <si>
    <t>7 February 2020.</t>
  </si>
  <si>
    <r>
      <t>Main CB 250AT/250 AF, 3P IC</t>
    </r>
    <r>
      <rPr>
        <u/>
        <sz val="14"/>
        <rFont val="CordiaUPC"/>
        <family val="2"/>
      </rPr>
      <t>&gt;</t>
    </r>
    <r>
      <rPr>
        <sz val="14"/>
        <rFont val="CordiaUPC"/>
        <family val="2"/>
      </rPr>
      <t>25 KA</t>
    </r>
  </si>
  <si>
    <r>
      <t xml:space="preserve">Panel 1 phase 2 wires , IC&gt;10 KA 6 ckt  </t>
    </r>
    <r>
      <rPr>
        <sz val="14"/>
        <color rgb="FFFF0000"/>
        <rFont val="CordiaUPC"/>
        <family val="2"/>
      </rPr>
      <t>(คิดที่ 15%ของจำนวน 20)</t>
    </r>
  </si>
  <si>
    <r>
      <t xml:space="preserve">Panel 1 phase 2 wires , IC&gt;10 KA 6 ckt  </t>
    </r>
    <r>
      <rPr>
        <sz val="14"/>
        <color rgb="FFFF0000"/>
        <rFont val="CordiaUPC"/>
        <family val="2"/>
      </rPr>
      <t>(ค่าแรงติดตั้ง)</t>
    </r>
  </si>
  <si>
    <r>
      <t xml:space="preserve">Main CB 40AT, 2P IC </t>
    </r>
    <r>
      <rPr>
        <u/>
        <sz val="14"/>
        <rFont val="CordiaUPC"/>
        <family val="2"/>
      </rPr>
      <t>&gt;</t>
    </r>
    <r>
      <rPr>
        <sz val="14"/>
        <rFont val="CordiaUPC"/>
        <family val="2"/>
      </rPr>
      <t xml:space="preserve"> 10 KA</t>
    </r>
  </si>
  <si>
    <r>
      <t xml:space="preserve">RCBO 32AT, 1P, 30 mA, IC </t>
    </r>
    <r>
      <rPr>
        <u/>
        <sz val="14"/>
        <rFont val="CordiaUPC"/>
        <family val="2"/>
      </rPr>
      <t>&gt;</t>
    </r>
    <r>
      <rPr>
        <sz val="14"/>
        <rFont val="CordiaUPC"/>
        <family val="2"/>
      </rPr>
      <t xml:space="preserve"> 6KA</t>
    </r>
  </si>
  <si>
    <r>
      <t xml:space="preserve">CB 20AT, 1P, IC </t>
    </r>
    <r>
      <rPr>
        <u/>
        <sz val="14"/>
        <rFont val="CordiaUPC"/>
        <family val="2"/>
      </rPr>
      <t>&gt;</t>
    </r>
    <r>
      <rPr>
        <sz val="14"/>
        <rFont val="CordiaUPC"/>
        <family val="2"/>
      </rPr>
      <t xml:space="preserve"> 6KA</t>
    </r>
  </si>
  <si>
    <r>
      <t xml:space="preserve">CB 16AT, 1P, IC </t>
    </r>
    <r>
      <rPr>
        <u/>
        <sz val="14"/>
        <rFont val="CordiaUPC"/>
        <family val="2"/>
      </rPr>
      <t>&gt;</t>
    </r>
    <r>
      <rPr>
        <sz val="14"/>
        <rFont val="CordiaUPC"/>
        <family val="2"/>
      </rPr>
      <t xml:space="preserve"> 6KA</t>
    </r>
  </si>
  <si>
    <r>
      <t xml:space="preserve">Kilo Watt Hour Meter 1 Phase 220 V 15/45A </t>
    </r>
    <r>
      <rPr>
        <sz val="14"/>
        <color rgb="FFFF0000"/>
        <rFont val="CordiaUPC"/>
        <family val="2"/>
      </rPr>
      <t>(คิดที่ 15%ของจำนวน 20)</t>
    </r>
  </si>
  <si>
    <r>
      <t xml:space="preserve">Kilo Watt Hour Meter 1 Phase 220 V 15/45A </t>
    </r>
    <r>
      <rPr>
        <sz val="14"/>
        <color rgb="FFFF0000"/>
        <rFont val="CordiaUPC"/>
        <family val="2"/>
      </rPr>
      <t>(ค่าแรงติดตั้ง)</t>
    </r>
  </si>
  <si>
    <r>
      <t xml:space="preserve">IEC 01 THW, 450/750 V, 70 </t>
    </r>
    <r>
      <rPr>
        <sz val="14"/>
        <rFont val="Calibri"/>
        <family val="2"/>
      </rPr>
      <t>°</t>
    </r>
    <r>
      <rPr>
        <sz val="14"/>
        <rFont val="CordiaUPC"/>
        <family val="2"/>
      </rPr>
      <t>C</t>
    </r>
  </si>
  <si>
    <r>
      <t xml:space="preserve">FD-0.6/1KV-CV, 0.6/1KV, 90 </t>
    </r>
    <r>
      <rPr>
        <sz val="14"/>
        <rFont val="Calibri"/>
        <family val="2"/>
      </rPr>
      <t>°</t>
    </r>
    <r>
      <rPr>
        <sz val="14"/>
        <rFont val="CordiaUPC"/>
        <family val="2"/>
      </rPr>
      <t>C</t>
    </r>
  </si>
  <si>
    <t>4.3.3</t>
  </si>
  <si>
    <t>4.3.4</t>
  </si>
  <si>
    <t>4.3.5</t>
  </si>
  <si>
    <t>4.3.6</t>
  </si>
  <si>
    <t>4.3.7</t>
  </si>
  <si>
    <t>4.4.1</t>
  </si>
  <si>
    <r>
      <t xml:space="preserve">Compact Fluorescent 2x26W, Acrylic or Glass cover </t>
    </r>
    <r>
      <rPr>
        <sz val="14"/>
        <color rgb="FF002060"/>
        <rFont val="CordiaUPC"/>
        <family val="2"/>
      </rPr>
      <t>(ทดแทน รุ่น EVE TH-LED Ceiling DOB 24W)</t>
    </r>
    <r>
      <rPr>
        <sz val="14"/>
        <color rgb="FFFF0000"/>
        <rFont val="CordiaUPC"/>
        <family val="2"/>
      </rPr>
      <t>(คิด15%)</t>
    </r>
  </si>
  <si>
    <t>4.4.1.1</t>
  </si>
  <si>
    <r>
      <t>- Compact Fluorescent 2x26W, Acrylic or Glass cover</t>
    </r>
    <r>
      <rPr>
        <sz val="14"/>
        <color rgb="FFFF0000"/>
        <rFont val="CordiaUPC"/>
        <family val="2"/>
      </rPr>
      <t xml:space="preserve"> (ค่าแรงติดตั้งโคมเก่า)</t>
    </r>
  </si>
  <si>
    <t>4.4.1.2</t>
  </si>
  <si>
    <r>
      <t xml:space="preserve">- EVE lighting LED Ceiling Kit DOB Daylight 6,000K 24W      </t>
    </r>
    <r>
      <rPr>
        <sz val="14"/>
        <color rgb="FF002060"/>
        <rFont val="CordiaUPC"/>
        <family val="2"/>
      </rPr>
      <t>(เปลี่ยนหลอดใหม่ทั้งหมด)</t>
    </r>
  </si>
  <si>
    <t>4.4.2</t>
  </si>
  <si>
    <r>
      <t xml:space="preserve">Compact Fluorescent 1x18W, Acrylic or Glass cover </t>
    </r>
    <r>
      <rPr>
        <sz val="14"/>
        <color theme="3"/>
        <rFont val="CordiaUPC"/>
        <family val="2"/>
      </rPr>
      <t>(ทดแทน รุ่น EVE TH-LED Ceiling DOB 12W)</t>
    </r>
    <r>
      <rPr>
        <sz val="14"/>
        <color rgb="FFFF0000"/>
        <rFont val="CordiaUPC"/>
        <family val="2"/>
      </rPr>
      <t>(คิด15%)</t>
    </r>
  </si>
  <si>
    <t>4.4.2.1</t>
  </si>
  <si>
    <r>
      <t xml:space="preserve">- Compact Fluorescent 1x18W, Acrylic or Glass cover </t>
    </r>
    <r>
      <rPr>
        <sz val="14"/>
        <color theme="3"/>
        <rFont val="CordiaUPC"/>
        <family val="2"/>
      </rPr>
      <t xml:space="preserve"> </t>
    </r>
    <r>
      <rPr>
        <sz val="14"/>
        <color rgb="FFFF0000"/>
        <rFont val="CordiaUPC"/>
        <family val="2"/>
      </rPr>
      <t>(ค่าแรงติดตั้งโคมเก่า)</t>
    </r>
  </si>
  <si>
    <t>4.4.2.2</t>
  </si>
  <si>
    <r>
      <t xml:space="preserve">- EVE lighting LED Ceiling Kit DOB Daylight 6,000K 12W      </t>
    </r>
    <r>
      <rPr>
        <sz val="14"/>
        <color theme="3"/>
        <rFont val="CordiaUPC"/>
        <family val="2"/>
      </rPr>
      <t>(เปลี่ยนหลอดใหม่ทั้งหมด)</t>
    </r>
  </si>
  <si>
    <t>4.4.3</t>
  </si>
  <si>
    <r>
      <t xml:space="preserve">Downlight, Compact Fluorescent 1x18W, Dia 6"  </t>
    </r>
    <r>
      <rPr>
        <sz val="14"/>
        <color rgb="FFFF0000"/>
        <rFont val="CordiaUPC"/>
        <family val="2"/>
      </rPr>
      <t>(ความเสียหายคิดที่ 15% ของจำนวนทั้งหมด60)</t>
    </r>
  </si>
  <si>
    <t>4.4.3.1</t>
  </si>
  <si>
    <r>
      <t xml:space="preserve">- Downlight, Compact Fluorescent 1x18W, Dia 6"  </t>
    </r>
    <r>
      <rPr>
        <sz val="14"/>
        <color rgb="FFFF0000"/>
        <rFont val="CordiaUPC"/>
        <family val="2"/>
      </rPr>
      <t xml:space="preserve"> (ค่าแรงติดตั้งโคมเก่า)</t>
    </r>
  </si>
  <si>
    <t>4.4.3.2</t>
  </si>
  <si>
    <r>
      <t xml:space="preserve">- EVE lighting Compact Fluorescent Daylight E27, 18W      </t>
    </r>
    <r>
      <rPr>
        <sz val="14"/>
        <color theme="3"/>
        <rFont val="CordiaUPC"/>
        <family val="2"/>
      </rPr>
      <t xml:space="preserve"> (เปลี่ยนหลอดใหม่ทั้งหมด)</t>
    </r>
  </si>
  <si>
    <t>4.4.4</t>
  </si>
  <si>
    <t>4.4.5</t>
  </si>
  <si>
    <t>4.5.1</t>
  </si>
  <si>
    <t>4.5.2</t>
  </si>
  <si>
    <t>4.5.4</t>
  </si>
  <si>
    <t>4.5.3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</si>
  <si>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</si>
  <si>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</si>
  <si>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</si>
  <si>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</si>
  <si>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</si>
  <si>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</si>
  <si>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</si>
  <si>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</si>
  <si>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</si>
  <si>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4.6.10</t>
  </si>
  <si>
    <t>4.7.1</t>
  </si>
  <si>
    <t>4.7.2</t>
  </si>
  <si>
    <t>4.7.3</t>
  </si>
  <si>
    <t>4.7.4</t>
  </si>
  <si>
    <t>4.7.5</t>
  </si>
  <si>
    <t>4.7.6</t>
  </si>
  <si>
    <t>4.7.7</t>
  </si>
  <si>
    <t>4.7.8</t>
  </si>
  <si>
    <t>4.7.9</t>
  </si>
  <si>
    <t>4.7.10</t>
  </si>
  <si>
    <t>4.8.1</t>
  </si>
  <si>
    <t>4.8.2</t>
  </si>
  <si>
    <t>4.8.3</t>
  </si>
  <si>
    <t>4.8.4</t>
  </si>
  <si>
    <t>4.8.5</t>
  </si>
  <si>
    <t>4.8.6</t>
  </si>
  <si>
    <t>5.1.1.1</t>
  </si>
  <si>
    <r>
      <t xml:space="preserve">- Split-Type Air Conditioning Unit Carrier 9,000 BTU </t>
    </r>
    <r>
      <rPr>
        <sz val="14"/>
        <color rgb="FFFF0000"/>
        <rFont val="CordiaUPC"/>
        <family val="2"/>
      </rPr>
      <t>(ค่าแรงติดตั้งแอร์เก่า)</t>
    </r>
  </si>
  <si>
    <r>
      <t xml:space="preserve">Ceiling Mount Ventilation Fan (25 L/s,_Pa)   </t>
    </r>
    <r>
      <rPr>
        <sz val="14"/>
        <color rgb="FFFF0000"/>
        <rFont val="CordiaUPC"/>
        <family val="2"/>
      </rPr>
      <t xml:space="preserve"> (คิดที่ 15%ของจำนวน 20)</t>
    </r>
  </si>
  <si>
    <r>
      <t xml:space="preserve">Ceiling Mount Ventilation Fan (25 L/s,_Pa)   </t>
    </r>
    <r>
      <rPr>
        <sz val="14"/>
        <color rgb="FFFF0000"/>
        <rFont val="CordiaUPC"/>
        <family val="2"/>
      </rPr>
      <t xml:space="preserve"> (ค่าแรงติดตั้งพัดลมเก่า)</t>
    </r>
  </si>
  <si>
    <t>YTS.</t>
  </si>
  <si>
    <t xml:space="preserve"> 11 / 02 / 2020</t>
  </si>
  <si>
    <t>SANITRAYWARE</t>
  </si>
  <si>
    <r>
      <t xml:space="preserve">Water  Closet    </t>
    </r>
    <r>
      <rPr>
        <b/>
        <sz val="14"/>
        <rFont val="Cordia New"/>
        <family val="2"/>
      </rPr>
      <t>NC-7554-WA/T9</t>
    </r>
  </si>
  <si>
    <r>
      <t xml:space="preserve">Wash Basin  </t>
    </r>
    <r>
      <rPr>
        <b/>
        <sz val="14"/>
        <rFont val="Cordia New"/>
        <family val="2"/>
      </rPr>
      <t>(NASCO N-030)</t>
    </r>
  </si>
  <si>
    <r>
      <t xml:space="preserve">Babin Faucet  / P-Trap / Water Hoses  </t>
    </r>
    <r>
      <rPr>
        <b/>
        <sz val="14"/>
        <rFont val="Cordia New"/>
        <family val="2"/>
      </rPr>
      <t>(GFA-005-100A/1 )</t>
    </r>
  </si>
  <si>
    <r>
      <t xml:space="preserve">Mirror  </t>
    </r>
    <r>
      <rPr>
        <b/>
        <sz val="14"/>
        <rFont val="Cordia New"/>
        <family val="2"/>
      </rPr>
      <t>(PVC.Frame ) Boss K203-WHI</t>
    </r>
  </si>
  <si>
    <t>3.1.6</t>
  </si>
  <si>
    <r>
      <t xml:space="preserve">Shower Faucet </t>
    </r>
    <r>
      <rPr>
        <b/>
        <sz val="14"/>
        <rFont val="Cordia New"/>
        <family val="2"/>
      </rPr>
      <t xml:space="preserve"> (GLOBO  GF-01-470-50 )</t>
    </r>
  </si>
  <si>
    <t>3.1.7</t>
  </si>
  <si>
    <r>
      <t xml:space="preserve">Tissue Holder  </t>
    </r>
    <r>
      <rPr>
        <b/>
        <sz val="14"/>
        <rFont val="Cordia New"/>
        <family val="2"/>
      </rPr>
      <t>(PIXO FS07 )</t>
    </r>
  </si>
  <si>
    <t>3.1.8</t>
  </si>
  <si>
    <r>
      <t xml:space="preserve">Soap Holder </t>
    </r>
    <r>
      <rPr>
        <b/>
        <sz val="14"/>
        <rFont val="Cordia New"/>
        <family val="2"/>
      </rPr>
      <t>(COTTO C-805)</t>
    </r>
  </si>
  <si>
    <t>3.1.9</t>
  </si>
  <si>
    <r>
      <t xml:space="preserve">Towel Bar  </t>
    </r>
    <r>
      <rPr>
        <b/>
        <sz val="14"/>
        <rFont val="Cordia New"/>
        <family val="2"/>
      </rPr>
      <t>( WATSON รุ่น AX-5504)</t>
    </r>
  </si>
  <si>
    <t>3.1.10</t>
  </si>
  <si>
    <r>
      <t xml:space="preserve">Rinsing  Spray  </t>
    </r>
    <r>
      <rPr>
        <b/>
        <sz val="14"/>
        <rFont val="Cordia New"/>
        <family val="2"/>
      </rPr>
      <t>(PREMA PM600#WH(HM)</t>
    </r>
  </si>
  <si>
    <t>3.1.11</t>
  </si>
  <si>
    <r>
      <t xml:space="preserve">Watet Tap Dia.1/2 inch </t>
    </r>
    <r>
      <rPr>
        <b/>
        <sz val="14"/>
        <rFont val="Cordia New"/>
        <family val="2"/>
      </rPr>
      <t>( VEGARR KITRB005S-SK )</t>
    </r>
  </si>
  <si>
    <t>3.1.12</t>
  </si>
  <si>
    <r>
      <t xml:space="preserve">Floor Drain  Dia. 3 inch </t>
    </r>
    <r>
      <rPr>
        <b/>
        <sz val="14"/>
        <rFont val="Cordia New"/>
        <family val="2"/>
      </rPr>
      <t>( VEGARR VFD0302 )</t>
    </r>
  </si>
  <si>
    <t>3.1.13</t>
  </si>
  <si>
    <r>
      <t xml:space="preserve">Water Heater  4,500 W </t>
    </r>
    <r>
      <rPr>
        <b/>
        <sz val="14"/>
        <rFont val="Cordia New"/>
        <family val="2"/>
      </rPr>
      <t>( Panasonic DH-4HS1T)</t>
    </r>
  </si>
  <si>
    <r>
      <t xml:space="preserve">Water Heater  4,500 W </t>
    </r>
    <r>
      <rPr>
        <b/>
        <sz val="14"/>
        <rFont val="Cordia New"/>
        <family val="2"/>
      </rPr>
      <t>( คิด 15% ของทั้งหมด 20 เครื่อง)</t>
    </r>
  </si>
  <si>
    <r>
      <t xml:space="preserve">Water Heater  4,500 W </t>
    </r>
    <r>
      <rPr>
        <b/>
        <sz val="14"/>
        <rFont val="Cordia New"/>
        <family val="2"/>
      </rPr>
      <t>( คิดค่าแรงติดตั้งที่เหลือ 17 เครื่อง)</t>
    </r>
  </si>
  <si>
    <t>3.1.14</t>
  </si>
  <si>
    <r>
      <t xml:space="preserve">Stainless Zink Embed counter </t>
    </r>
    <r>
      <rPr>
        <b/>
        <sz val="14"/>
        <rFont val="Cordia New"/>
        <family val="2"/>
      </rPr>
      <t>( Cover set and Zinktrap valve)</t>
    </r>
  </si>
  <si>
    <t>3.1.15</t>
  </si>
  <si>
    <t>35 P.%</t>
  </si>
  <si>
    <t>Lm</t>
  </si>
  <si>
    <r>
      <t>-PVC  Dia. 1/2 inch ( Class 13.5 )</t>
    </r>
    <r>
      <rPr>
        <b/>
        <sz val="14"/>
        <rFont val="Cordia New"/>
        <family val="2"/>
      </rPr>
      <t xml:space="preserve"> Thaipipe Or SCG</t>
    </r>
  </si>
  <si>
    <r>
      <t xml:space="preserve">-PVC  Dia. 1-1/2 inch ( Class 13.5 ) </t>
    </r>
    <r>
      <rPr>
        <b/>
        <sz val="14"/>
        <rFont val="Cordia New"/>
        <family val="2"/>
      </rPr>
      <t xml:space="preserve"> Thaipipe Or SCG</t>
    </r>
  </si>
  <si>
    <r>
      <t>-PVC  Dia. 1 inch  ( Class 8.5 )</t>
    </r>
    <r>
      <rPr>
        <b/>
        <sz val="14"/>
        <rFont val="Cordia New"/>
        <family val="2"/>
      </rPr>
      <t xml:space="preserve">  Thaipipe Or SCG</t>
    </r>
  </si>
  <si>
    <r>
      <t xml:space="preserve">-PVC  Dia.  2 inch  ( Class 8.5 ) </t>
    </r>
    <r>
      <rPr>
        <b/>
        <sz val="14"/>
        <rFont val="Cordia New"/>
        <family val="2"/>
      </rPr>
      <t xml:space="preserve"> Thaipipe Or SCG</t>
    </r>
  </si>
  <si>
    <r>
      <t xml:space="preserve">-PVC  Dia. 3 inch ( Class 8.5 ) </t>
    </r>
    <r>
      <rPr>
        <b/>
        <sz val="14"/>
        <rFont val="Cordia New"/>
        <family val="2"/>
      </rPr>
      <t xml:space="preserve"> Thaipipe Or SCG</t>
    </r>
  </si>
  <si>
    <r>
      <t>-PVC  Dia.. 4 inch  ( Class 8.5 )</t>
    </r>
    <r>
      <rPr>
        <b/>
        <sz val="14"/>
        <rFont val="Cordia New"/>
        <family val="2"/>
      </rPr>
      <t xml:space="preserve">   Thaipipe Or SCG</t>
    </r>
  </si>
  <si>
    <r>
      <t>-PVC  Dia. 6 inch ( Class 8.5 )</t>
    </r>
    <r>
      <rPr>
        <b/>
        <sz val="14"/>
        <rFont val="Cordia New"/>
        <family val="2"/>
      </rPr>
      <t xml:space="preserve">  Thaipipe Or SCG</t>
    </r>
  </si>
  <si>
    <r>
      <t xml:space="preserve">- Brass Gate  Valve  Dia. 1/2 inch </t>
    </r>
    <r>
      <rPr>
        <b/>
        <sz val="14"/>
        <rFont val="Cordia New"/>
        <family val="2"/>
      </rPr>
      <t xml:space="preserve"> ( Sanwa )</t>
    </r>
  </si>
  <si>
    <r>
      <t xml:space="preserve">- Brass Gate  Valve  Dia. 1-1/2 inch (  </t>
    </r>
    <r>
      <rPr>
        <b/>
        <sz val="14"/>
        <rFont val="Cordia New"/>
        <family val="2"/>
      </rPr>
      <t>Sanwa )</t>
    </r>
  </si>
  <si>
    <r>
      <t xml:space="preserve">- Stop valve 2 way  Dia. 1-1/2 inch (  </t>
    </r>
    <r>
      <rPr>
        <b/>
        <sz val="14"/>
        <rFont val="Cordia New"/>
        <family val="2"/>
      </rPr>
      <t>Sanwa</t>
    </r>
    <r>
      <rPr>
        <sz val="14"/>
        <rFont val="Cordia New"/>
        <family val="2"/>
      </rPr>
      <t xml:space="preserve"> )</t>
    </r>
  </si>
  <si>
    <r>
      <t xml:space="preserve">- Stop valve 3 way  Dia. 1-1/2 inch (  </t>
    </r>
    <r>
      <rPr>
        <b/>
        <sz val="14"/>
        <rFont val="Cordia New"/>
        <family val="2"/>
      </rPr>
      <t>Sanwa</t>
    </r>
    <r>
      <rPr>
        <sz val="14"/>
        <rFont val="Cordia New"/>
        <family val="2"/>
      </rPr>
      <t xml:space="preserve"> )</t>
    </r>
  </si>
  <si>
    <r>
      <t>-Packet Septic Filter Tank DOS 6000 Liter / Air Pump (</t>
    </r>
    <r>
      <rPr>
        <b/>
        <sz val="14"/>
        <rFont val="Cordia New"/>
        <family val="2"/>
      </rPr>
      <t xml:space="preserve"> DFF 6000+AB200</t>
    </r>
    <r>
      <rPr>
        <sz val="14"/>
        <rFont val="Cordia New"/>
        <family val="2"/>
      </rPr>
      <t xml:space="preserve"> )</t>
    </r>
  </si>
  <si>
    <r>
      <t>Water rmeter Dia. 1/2 inch (</t>
    </r>
    <r>
      <rPr>
        <b/>
        <sz val="14"/>
        <rFont val="Cordia New"/>
        <family val="2"/>
      </rPr>
      <t xml:space="preserve"> Asahi GMK.</t>
    </r>
    <r>
      <rPr>
        <sz val="14"/>
        <rFont val="Cordia New"/>
        <family val="2"/>
      </rPr>
      <t xml:space="preserve"> )</t>
    </r>
  </si>
  <si>
    <r>
      <t xml:space="preserve">Water rmeter Dia. 1-1/2 inch ( </t>
    </r>
    <r>
      <rPr>
        <b/>
        <sz val="14"/>
        <rFont val="Cordia New"/>
        <family val="2"/>
      </rPr>
      <t>Asahi GMK</t>
    </r>
    <r>
      <rPr>
        <sz val="14"/>
        <rFont val="Cordia New"/>
        <family val="2"/>
      </rPr>
      <t>. )</t>
    </r>
  </si>
  <si>
    <t>7 ea/room</t>
  </si>
  <si>
    <r>
      <t>PVC. socket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Dia.1/2 inch.</t>
    </r>
  </si>
  <si>
    <t>4 ea/room</t>
  </si>
  <si>
    <r>
      <t>PVC. Elbow 90</t>
    </r>
    <r>
      <rPr>
        <sz val="14"/>
        <rFont val="Calibri"/>
        <family val="2"/>
      </rPr>
      <t xml:space="preserve">°  </t>
    </r>
    <r>
      <rPr>
        <sz val="14"/>
        <rFont val="Cordia New"/>
        <family val="2"/>
      </rPr>
      <t xml:space="preserve"> Dia. 1/2 inch.</t>
    </r>
  </si>
  <si>
    <t>25 ea/room</t>
  </si>
  <si>
    <r>
      <t>PVC. Tee  90</t>
    </r>
    <r>
      <rPr>
        <sz val="14"/>
        <rFont val="Calibri"/>
        <family val="2"/>
      </rPr>
      <t xml:space="preserve">°  </t>
    </r>
    <r>
      <rPr>
        <sz val="14"/>
        <rFont val="Cordia New"/>
        <family val="2"/>
      </rPr>
      <t xml:space="preserve"> Dia. 1/2 inch.</t>
    </r>
  </si>
  <si>
    <t>5 ea/room</t>
  </si>
  <si>
    <r>
      <t>PVC. Grip</t>
    </r>
    <r>
      <rPr>
        <sz val="14"/>
        <rFont val="Calibri"/>
        <family val="2"/>
      </rPr>
      <t xml:space="preserve">  </t>
    </r>
    <r>
      <rPr>
        <sz val="14"/>
        <rFont val="Cordia New"/>
        <family val="2"/>
      </rPr>
      <t xml:space="preserve"> Dia. 1/2 inch.</t>
    </r>
  </si>
  <si>
    <t>9 ea/room</t>
  </si>
  <si>
    <r>
      <t>PVC. socket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Dia.1 inch. ( หนา )</t>
    </r>
  </si>
  <si>
    <t>10 ea/line</t>
  </si>
  <si>
    <r>
      <t>PVC. Elbow 90</t>
    </r>
    <r>
      <rPr>
        <sz val="14"/>
        <rFont val="Calibri"/>
        <family val="2"/>
      </rPr>
      <t xml:space="preserve">°  </t>
    </r>
    <r>
      <rPr>
        <sz val="14"/>
        <rFont val="Cordia New"/>
        <family val="2"/>
      </rPr>
      <t xml:space="preserve"> Dia. 1 inch. ( หนา )</t>
    </r>
  </si>
  <si>
    <t>6 ea/line+1</t>
  </si>
  <si>
    <r>
      <t>PVC. Tee  90</t>
    </r>
    <r>
      <rPr>
        <sz val="14"/>
        <rFont val="Calibri"/>
        <family val="2"/>
      </rPr>
      <t xml:space="preserve">°  </t>
    </r>
    <r>
      <rPr>
        <sz val="14"/>
        <rFont val="Cordia New"/>
        <family val="2"/>
      </rPr>
      <t xml:space="preserve"> Dia. 1 inch. ( หนา )</t>
    </r>
  </si>
  <si>
    <t>7 ea/line+1</t>
  </si>
  <si>
    <r>
      <t>PVC.  Elbow 90°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2 inch. ( บาง )</t>
    </r>
  </si>
  <si>
    <t>2 ea/room</t>
  </si>
  <si>
    <r>
      <t>PVC.  Elbow 45°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2 inch.  ( บาง )</t>
    </r>
  </si>
  <si>
    <r>
      <t>PVC. socket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3 inch.  ( บาง )</t>
    </r>
  </si>
  <si>
    <t>1 ea/room</t>
  </si>
  <si>
    <r>
      <t>PVC.  Elbow 45°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3 inch. ( บาง )</t>
    </r>
  </si>
  <si>
    <r>
      <t>PVC. Tee - Reducing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3 - 1 inch. ( หนา )</t>
    </r>
  </si>
  <si>
    <r>
      <t>PVC. Tee Y - Reducing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3 - 2 inch. ( บาง )</t>
    </r>
  </si>
  <si>
    <t>1ea/room</t>
  </si>
  <si>
    <t>(+4)</t>
  </si>
  <si>
    <r>
      <t>PVC. socket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4 inch.  ( บาง )</t>
    </r>
  </si>
  <si>
    <r>
      <t>PVC.  Elbow 45°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4 inch.  ( บาง )</t>
    </r>
  </si>
  <si>
    <t>2ea/room</t>
  </si>
  <si>
    <r>
      <t>PVC. Reducing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4 - 2  inch. ( บาง )เยื้องศูนย์</t>
    </r>
  </si>
  <si>
    <r>
      <t>PVC. Reducing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4 - 3  inch.  ( บาง )เยื้องศูนย์</t>
    </r>
  </si>
  <si>
    <r>
      <t xml:space="preserve">PVC. Tee Y </t>
    </r>
    <r>
      <rPr>
        <sz val="14"/>
        <rFont val="Cordia New"/>
        <family val="2"/>
      </rPr>
      <t xml:space="preserve"> Dia. 4  inch. ( บาง )</t>
    </r>
  </si>
  <si>
    <r>
      <t>PVC. Tee - Reducing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4 - 1 inch. ( หนา )</t>
    </r>
  </si>
  <si>
    <r>
      <t>PVC. socket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6  inch.  ( บาง )</t>
    </r>
  </si>
  <si>
    <t>ea/room</t>
  </si>
  <si>
    <r>
      <t>PVC.  Elbow 45°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6 inch.  ( บาง )</t>
    </r>
  </si>
  <si>
    <t>2ea/co</t>
  </si>
  <si>
    <r>
      <t>PVC. Reducing</t>
    </r>
    <r>
      <rPr>
        <sz val="14"/>
        <rFont val="Calibri"/>
        <family val="2"/>
      </rPr>
      <t xml:space="preserve"> </t>
    </r>
    <r>
      <rPr>
        <sz val="14"/>
        <rFont val="Cordia New"/>
        <family val="2"/>
      </rPr>
      <t xml:space="preserve"> Dia. 6 - 4  inch. ( บาง )เยื้องศูนย์</t>
    </r>
  </si>
  <si>
    <r>
      <t xml:space="preserve">PVC. Tee  Y </t>
    </r>
    <r>
      <rPr>
        <sz val="14"/>
        <rFont val="Cordia New"/>
        <family val="2"/>
      </rPr>
      <t xml:space="preserve"> Dia. 6   inch. ( บาง )</t>
    </r>
  </si>
  <si>
    <t>2 ea/line</t>
  </si>
  <si>
    <t>1 ea/line</t>
  </si>
  <si>
    <t>4ea/room</t>
  </si>
  <si>
    <t>1 ea</t>
  </si>
  <si>
    <t>ส่วนกลาง</t>
  </si>
  <si>
    <t>6 ea</t>
  </si>
  <si>
    <t>Summary cost material</t>
  </si>
  <si>
    <t>3.2.10</t>
  </si>
  <si>
    <t>Imported materials list  40%</t>
  </si>
  <si>
    <t>OVERHEAD AND PROFIT 10 %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</si>
</sst>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&quot;฿&quot;* #,##0.00_-;\-&quot;฿&quot;* #,##0.00_-;_-&quot;฿&quot;* &quot;-&quot;??_-;_-@_-"/>
    <numFmt numFmtId="166" formatCode="_-* #,##0.00_-;\-* #,##0.00_-;_-* &quot;-&quot;??_-;_-@_-"/>
    <numFmt numFmtId="167" formatCode="_(* #,##0_);_(* \(#,##0\);_(* &quot;-&quot;??_);_(@_)"/>
    <numFmt numFmtId="168" formatCode="_(* #,##0.0_);_(* \(#,##0.0\);_(* &quot;-&quot;??_);_(@_)"/>
    <numFmt numFmtId="169" formatCode="_-* #,##0.000_-;\-* #,##0.000_-;_-* &quot;-&quot;??_-;_-@_-"/>
    <numFmt numFmtId="170" formatCode="mmm\.yy"/>
    <numFmt numFmtId="171" formatCode="0_)"/>
    <numFmt numFmtId="172" formatCode="General_)"/>
    <numFmt numFmtId="173" formatCode="#,##0.00&quot; $&quot;;\-#,##0.00&quot; $&quot;"/>
    <numFmt numFmtId="174" formatCode="#,##0.00&quot; $&quot;;[Red]\-#,##0.00&quot; $&quot;"/>
    <numFmt numFmtId="175" formatCode="d\.m\.yy"/>
    <numFmt numFmtId="176" formatCode="d\.mmm\.yy"/>
    <numFmt numFmtId="177" formatCode="d\.mmm"/>
    <numFmt numFmtId="178" formatCode="&quot;ฃค&quot;#,##0;&quot;ฃค&quot;\-#,##0"/>
    <numFmt numFmtId="179" formatCode="0&quot;  &quot;"/>
    <numFmt numFmtId="180" formatCode="d\.m\.yy\ h:mm"/>
    <numFmt numFmtId="181" formatCode="_-* #,##0.00\ &quot;F&quot;_-;\-* #,##0.00\ &quot;F&quot;_-;_-* &quot;-&quot;??\ &quot;F&quot;_-;_-@_-"/>
    <numFmt numFmtId="182" formatCode="0.00&quot;  &quot;"/>
    <numFmt numFmtId="183" formatCode="0.0%"/>
    <numFmt numFmtId="184" formatCode="[$-409]d\-mmm\-yy;@"/>
    <numFmt numFmtId="185" formatCode="#,##0.00_ ;[Red]\-#,##0.00\ "/>
    <numFmt numFmtId="186" formatCode="#,##0.00\ ;&quot; (&quot;#,##0.00\);&quot; -&quot;#\ ;@\ 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0070C0"/>
      <name val="Cordia New"/>
      <family val="2"/>
    </font>
    <font>
      <b/>
      <sz val="18"/>
      <color rgb="FF0070C0"/>
      <name val="Cordia New"/>
      <family val="2"/>
    </font>
    <font>
      <b/>
      <sz val="14"/>
      <color rgb="FF0070C0"/>
      <name val="Cordia New"/>
      <family val="2"/>
    </font>
    <font>
      <sz val="12.5"/>
      <name val="BrowalliaUPC"/>
      <family val="2"/>
    </font>
    <font>
      <b/>
      <sz val="14"/>
      <name val="CordiaUPC"/>
      <family val="2"/>
    </font>
    <font>
      <sz val="14"/>
      <name val="CordiaUPC"/>
      <family val="2"/>
    </font>
    <font>
      <sz val="14"/>
      <name val="Cordia New"/>
      <family val="2"/>
    </font>
    <font>
      <b/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0"/>
      <name val="MS Sans Serif"/>
      <family val="2"/>
      <charset val="222"/>
    </font>
    <font>
      <sz val="14"/>
      <name val="AngsanaUPC"/>
      <family val="1"/>
    </font>
    <font>
      <sz val="12.5"/>
      <name val="DilleniaUPC"/>
      <family val="1"/>
    </font>
    <font>
      <b/>
      <sz val="22"/>
      <color rgb="FF0070C0"/>
      <name val="Cordia New"/>
      <family val="2"/>
    </font>
    <font>
      <b/>
      <sz val="26"/>
      <name val="Cordia New"/>
      <family val="2"/>
    </font>
    <font>
      <sz val="26"/>
      <name val="Cordia New"/>
      <family val="2"/>
    </font>
    <font>
      <b/>
      <sz val="16"/>
      <name val="Cordia New"/>
      <family val="2"/>
    </font>
    <font>
      <sz val="14"/>
      <color rgb="FF0070C0"/>
      <name val="Cordia New"/>
      <family val="2"/>
    </font>
    <font>
      <b/>
      <sz val="16"/>
      <color rgb="FF0070C0"/>
      <name val="Cordia New"/>
      <family val="2"/>
    </font>
    <font>
      <u/>
      <sz val="14"/>
      <name val="CordiaUPC"/>
      <family val="2"/>
    </font>
    <font>
      <sz val="14"/>
      <color rgb="FFFF0000"/>
      <name val="CordiaUPC"/>
      <family val="2"/>
    </font>
    <font>
      <sz val="14"/>
      <name val="Calibri"/>
      <family val="2"/>
    </font>
    <font>
      <sz val="14"/>
      <color rgb="FF002060"/>
      <name val="CordiaUPC"/>
      <family val="2"/>
    </font>
    <font>
      <sz val="14"/>
      <color theme="3"/>
      <name val="CordiaUPC"/>
      <family val="2"/>
    </font>
    <font>
      <sz val="14"/>
      <color rgb="FFFF0000"/>
      <name val="Cordia New"/>
      <family val="2"/>
    </font>
    <font>
      <b/>
      <sz val="14"/>
      <color rgb="FFFF0000"/>
      <name val="CordiaUPC"/>
      <family val="2"/>
    </font>
    <font>
      <u/>
      <sz val="14"/>
      <name val="Cordia New"/>
      <family val="2"/>
    </font>
    <font>
      <b/>
      <u val="singleAccounting"/>
      <sz val="14"/>
      <name val="CordiaUPC"/>
      <family val="2"/>
    </font>
    <font>
      <b/>
      <i/>
      <sz val="14"/>
      <color rgb="FFFF0000"/>
      <name val="CordiaUPC"/>
      <family val="2"/>
    </font>
    <font>
      <b/>
      <i/>
      <sz val="14"/>
      <color rgb="FFFF0000"/>
      <name val="Cordia New"/>
      <family val="2"/>
    </font>
    <font>
      <sz val="11"/>
      <color theme="1"/>
      <name val="Calibri"/>
      <family val="3"/>
      <charset val="128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AngsanaUPC"/>
      <family val="2"/>
    </font>
    <font>
      <sz val="11"/>
      <color indexed="8"/>
      <name val="Tahoma"/>
      <family val="2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8"/>
      <name val="Helv"/>
    </font>
    <font>
      <sz val="11"/>
      <color indexed="9"/>
      <name val="Calibri"/>
      <family val="2"/>
      <charset val="222"/>
    </font>
    <font>
      <b/>
      <sz val="8"/>
      <name val="Tms Rmn"/>
    </font>
    <font>
      <b/>
      <sz val="10"/>
      <name val="Helv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sz val="8"/>
      <name val="Tms Rmn"/>
    </font>
    <font>
      <b/>
      <sz val="11"/>
      <name val="Helv"/>
    </font>
    <font>
      <sz val="7"/>
      <name val="Small Fonts"/>
      <family val="2"/>
    </font>
    <font>
      <sz val="15"/>
      <name val="EucrosiaUPC"/>
      <family val="1"/>
    </font>
    <font>
      <sz val="16"/>
      <name val="EucrosiaUPC"/>
      <family val="1"/>
    </font>
    <font>
      <b/>
      <sz val="11"/>
      <color indexed="9"/>
      <name val="Calibri"/>
      <family val="2"/>
      <charset val="222"/>
    </font>
    <font>
      <sz val="11"/>
      <color indexed="10"/>
      <name val="Calibri"/>
      <family val="2"/>
      <charset val="222"/>
    </font>
    <font>
      <sz val="14"/>
      <name val="AngsanaUPC"/>
      <family val="1"/>
      <charset val="128"/>
    </font>
    <font>
      <sz val="11"/>
      <color indexed="20"/>
      <name val="Calibri"/>
      <family val="2"/>
      <charset val="222"/>
    </font>
    <font>
      <b/>
      <sz val="11"/>
      <color indexed="63"/>
      <name val="Calibri"/>
      <family val="2"/>
      <charset val="222"/>
    </font>
    <font>
      <b/>
      <sz val="11"/>
      <color indexed="10"/>
      <name val="Calibri"/>
      <family val="2"/>
      <charset val="222"/>
    </font>
    <font>
      <i/>
      <sz val="11"/>
      <color indexed="23"/>
      <name val="Calibri"/>
      <family val="2"/>
      <charset val="222"/>
    </font>
    <font>
      <b/>
      <sz val="18"/>
      <color indexed="62"/>
      <name val="Cambria"/>
      <family val="2"/>
      <charset val="222"/>
    </font>
    <font>
      <sz val="11"/>
      <color indexed="17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19"/>
      <name val="Calibri"/>
      <family val="2"/>
      <charset val="222"/>
    </font>
    <font>
      <b/>
      <sz val="11"/>
      <color indexed="8"/>
      <name val="Calibri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sz val="16"/>
      <color indexed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26"/>
      <name val="Calibri"/>
      <family val="2"/>
      <scheme val="minor"/>
    </font>
    <font>
      <sz val="14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4"/>
      <color theme="1"/>
      <name val="CordiaUPC"/>
      <family val="2"/>
    </font>
    <font>
      <b/>
      <sz val="16"/>
      <color theme="1"/>
      <name val="CordiaUPC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ordiaUPC"/>
      <family val="2"/>
    </font>
    <font>
      <sz val="16"/>
      <color theme="1"/>
      <name val="CordiaUPC"/>
      <family val="2"/>
    </font>
    <font>
      <sz val="14"/>
      <color theme="1"/>
      <name val="Phetsarath OT"/>
      <family val="2"/>
    </font>
    <font>
      <sz val="14"/>
      <name val="Cordia New"/>
      <charset val="222"/>
    </font>
    <font>
      <sz val="10"/>
      <name val="Arial"/>
    </font>
    <font>
      <sz val="10"/>
      <name val="Arial"/>
      <family val="2"/>
      <charset val="222"/>
    </font>
    <font>
      <b/>
      <sz val="16"/>
      <name val="CordiaUPC"/>
      <family val="2"/>
    </font>
    <font>
      <sz val="16"/>
      <name val="CordiaUPC"/>
      <family val="2"/>
    </font>
    <font>
      <b/>
      <sz val="18"/>
      <name val="CordiaUPC"/>
      <family val="2"/>
    </font>
    <font>
      <sz val="8"/>
      <name val="Calibri"/>
      <family val="2"/>
      <scheme val="minor"/>
    </font>
    <font>
      <sz val="14"/>
      <color indexed="8"/>
      <name val="CordiaUPC"/>
      <family val="2"/>
    </font>
    <font>
      <sz val="18"/>
      <color indexed="8"/>
      <name val="CordiaUPC"/>
      <family val="2"/>
    </font>
    <font>
      <b/>
      <sz val="20"/>
      <color indexed="8"/>
      <name val="CordiaUPC"/>
      <family val="2"/>
    </font>
    <font>
      <b/>
      <sz val="18"/>
      <color indexed="8"/>
      <name val="CordiaUPC"/>
      <family val="2"/>
    </font>
    <font>
      <b/>
      <sz val="16"/>
      <color indexed="8"/>
      <name val="CordiaUPC"/>
      <family val="2"/>
    </font>
    <font>
      <b/>
      <u/>
      <sz val="16"/>
      <color indexed="8"/>
      <name val="CordiaUPC"/>
      <family val="2"/>
    </font>
    <font>
      <b/>
      <sz val="14"/>
      <color indexed="8"/>
      <name val="CordiaUPC"/>
      <family val="2"/>
    </font>
    <font>
      <b/>
      <sz val="16"/>
      <color rgb="FFFF0000"/>
      <name val="CordiaUPC"/>
      <family val="2"/>
    </font>
    <font>
      <b/>
      <u val="singleAccounting"/>
      <sz val="16"/>
      <color rgb="FFFF0000"/>
      <name val="CordiaUPC"/>
      <family val="2"/>
    </font>
    <font>
      <sz val="11"/>
      <name val="CordiaUPC"/>
      <family val="2"/>
    </font>
    <font>
      <sz val="18"/>
      <color theme="1"/>
      <name val="CordiaUPC"/>
      <family val="2"/>
    </font>
    <font>
      <b/>
      <u val="singleAccounting"/>
      <sz val="16"/>
      <color theme="1"/>
      <name val="CordiaUPC"/>
      <family val="2"/>
    </font>
    <font>
      <sz val="14"/>
      <color theme="5" tint="0.79998168889431442"/>
      <name val="Calibri"/>
      <family val="2"/>
      <scheme val="minor"/>
    </font>
    <font>
      <sz val="14"/>
      <color theme="5" tint="0.79998168889431442"/>
      <name val="Cordia New"/>
      <family val="2"/>
    </font>
    <font>
      <b/>
      <sz val="14"/>
      <color theme="5" tint="0.79998168889431442"/>
      <name val="Cordia New"/>
      <family val="2"/>
    </font>
    <font>
      <sz val="16"/>
      <name val="Cordia New"/>
      <family val="2"/>
    </font>
    <font>
      <u val="singleAccounting"/>
      <sz val="14"/>
      <name val="Cordia New"/>
      <family val="2"/>
    </font>
    <font>
      <b/>
      <i/>
      <sz val="16"/>
      <color rgb="FFFF0000"/>
      <name val="Cordia New"/>
      <family val="2"/>
    </font>
    <font>
      <i/>
      <sz val="14"/>
      <color rgb="FFFF0000"/>
      <name val="Cordia New"/>
      <family val="2"/>
    </font>
    <font>
      <u val="singleAccounting"/>
      <sz val="14"/>
      <color rgb="FFFF0000"/>
      <name val="Cordia New"/>
      <family val="2"/>
    </font>
    <font>
      <b/>
      <sz val="14"/>
      <color rgb="FFFF0000"/>
      <name val="Cordia New"/>
      <family val="2"/>
    </font>
    <font>
      <sz val="11"/>
      <color theme="1"/>
      <name val="CordiaUPC"/>
      <family val="2"/>
    </font>
    <font>
      <b/>
      <sz val="18"/>
      <color theme="1"/>
      <name val="CordiaUPC"/>
      <family val="2"/>
    </font>
    <font>
      <i/>
      <sz val="16"/>
      <color theme="1"/>
      <name val="CordiaUPC"/>
      <family val="2"/>
    </font>
    <font>
      <b/>
      <i/>
      <sz val="18"/>
      <color rgb="FFFF0000"/>
      <name val="Cordia New"/>
      <family val="2"/>
    </font>
    <font>
      <b/>
      <sz val="18"/>
      <name val="Cordia New"/>
      <family val="2"/>
    </font>
    <font>
      <b/>
      <sz val="18"/>
      <color theme="1"/>
      <name val="Cordia New"/>
      <family val="2"/>
    </font>
    <font>
      <b/>
      <sz val="18"/>
      <color theme="5" tint="0.79998168889431442"/>
      <name val="Cordia New"/>
      <family val="2"/>
    </font>
    <font>
      <b/>
      <sz val="18"/>
      <color rgb="FFFF0000"/>
      <name val="Cordia New"/>
      <family val="2"/>
    </font>
    <font>
      <b/>
      <u val="singleAccounting"/>
      <sz val="18"/>
      <name val="Cordia New"/>
      <family val="2"/>
    </font>
    <font>
      <sz val="16"/>
      <color rgb="FFFF0000"/>
      <name val="Cordia New"/>
      <family val="2"/>
    </font>
    <font>
      <u val="singleAccounting"/>
      <sz val="16"/>
      <color rgb="FFFF0000"/>
      <name val="Cordia New"/>
      <family val="2"/>
    </font>
    <font>
      <b/>
      <sz val="16"/>
      <color theme="5" tint="0.79998168889431442"/>
      <name val="Cordia New"/>
      <family val="2"/>
    </font>
    <font>
      <b/>
      <sz val="16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sz val="16"/>
      <color theme="5" tint="0.79998168889431442"/>
      <name val="Cordia New"/>
      <family val="2"/>
    </font>
    <font>
      <sz val="14"/>
      <color theme="1"/>
      <name val="Cordia New"/>
      <family val="2"/>
    </font>
    <font>
      <sz val="18"/>
      <color theme="1"/>
      <name val="Cordia New"/>
      <family val="2"/>
    </font>
    <font>
      <b/>
      <sz val="11"/>
      <color theme="1"/>
      <name val="Cordia New"/>
      <family val="2"/>
    </font>
    <font>
      <b/>
      <u/>
      <sz val="14"/>
      <color indexed="8"/>
      <name val="CordiaUPC"/>
      <family val="2"/>
    </font>
    <font>
      <u val="singleAccounting"/>
      <sz val="16"/>
      <color theme="1"/>
      <name val="Cordia New"/>
      <family val="2"/>
    </font>
    <font>
      <sz val="16"/>
      <color theme="1"/>
      <name val="Cordia New"/>
      <family val="2"/>
    </font>
    <font>
      <b/>
      <i/>
      <u/>
      <sz val="18"/>
      <color rgb="FF000000"/>
      <name val="TH SarabunPSK"/>
      <family val="2"/>
    </font>
    <font>
      <sz val="16"/>
      <color theme="1"/>
      <name val="Angsana New"/>
      <family val="1"/>
    </font>
    <font>
      <b/>
      <sz val="22"/>
      <name val="Cordia New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33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0" fillId="0" borderId="0"/>
    <xf numFmtId="4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31" fillId="0" borderId="0">
      <alignment vertical="center"/>
    </xf>
    <xf numFmtId="166" fontId="1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2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7" fillId="0" borderId="0">
      <alignment vertical="center"/>
    </xf>
    <xf numFmtId="170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3" fillId="0" borderId="0"/>
    <xf numFmtId="0" fontId="38" fillId="0" borderId="0"/>
    <xf numFmtId="38" fontId="39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2" fillId="0" borderId="65"/>
    <xf numFmtId="0" fontId="43" fillId="0" borderId="0"/>
    <xf numFmtId="0" fontId="44" fillId="0" borderId="0"/>
    <xf numFmtId="0" fontId="45" fillId="0" borderId="0"/>
    <xf numFmtId="0" fontId="8" fillId="0" borderId="0"/>
    <xf numFmtId="0" fontId="33" fillId="0" borderId="0"/>
    <xf numFmtId="166" fontId="33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10" fillId="0" borderId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171" fontId="47" fillId="0" borderId="0"/>
    <xf numFmtId="171" fontId="47" fillId="0" borderId="0"/>
    <xf numFmtId="171" fontId="47" fillId="0" borderId="0"/>
    <xf numFmtId="171" fontId="47" fillId="0" borderId="0"/>
    <xf numFmtId="171" fontId="47" fillId="0" borderId="0"/>
    <xf numFmtId="171" fontId="47" fillId="0" borderId="0"/>
    <xf numFmtId="171" fontId="47" fillId="0" borderId="0"/>
    <xf numFmtId="171" fontId="47" fillId="0" borderId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172" fontId="49" fillId="15" borderId="74"/>
    <xf numFmtId="173" fontId="32" fillId="0" borderId="0" applyFill="0" applyBorder="0" applyAlignment="0"/>
    <xf numFmtId="174" fontId="32" fillId="0" borderId="0" applyFill="0" applyBorder="0" applyAlignment="0"/>
    <xf numFmtId="175" fontId="32" fillId="0" borderId="0" applyFill="0" applyBorder="0" applyAlignment="0"/>
    <xf numFmtId="176" fontId="32" fillId="0" borderId="0" applyFill="0" applyBorder="0" applyAlignment="0"/>
    <xf numFmtId="177" fontId="32" fillId="0" borderId="0" applyFill="0" applyBorder="0" applyAlignment="0"/>
    <xf numFmtId="173" fontId="32" fillId="0" borderId="0" applyFill="0" applyBorder="0" applyAlignment="0"/>
    <xf numFmtId="170" fontId="32" fillId="0" borderId="0" applyFill="0" applyBorder="0" applyAlignment="0"/>
    <xf numFmtId="174" fontId="32" fillId="0" borderId="0" applyFill="0" applyBorder="0" applyAlignment="0"/>
    <xf numFmtId="0" fontId="50" fillId="0" borderId="0"/>
    <xf numFmtId="17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4" fontId="51" fillId="0" borderId="0" applyFill="0" applyBorder="0" applyAlignment="0"/>
    <xf numFmtId="173" fontId="32" fillId="0" borderId="0" applyFill="0" applyBorder="0" applyAlignment="0"/>
    <xf numFmtId="174" fontId="32" fillId="0" borderId="0" applyFill="0" applyBorder="0" applyAlignment="0"/>
    <xf numFmtId="173" fontId="32" fillId="0" borderId="0" applyFill="0" applyBorder="0" applyAlignment="0"/>
    <xf numFmtId="170" fontId="32" fillId="0" borderId="0" applyFill="0" applyBorder="0" applyAlignment="0"/>
    <xf numFmtId="174" fontId="32" fillId="0" borderId="0" applyFill="0" applyBorder="0" applyAlignment="0"/>
    <xf numFmtId="38" fontId="52" fillId="16" borderId="0" applyNumberFormat="0" applyBorder="0" applyAlignment="0" applyProtection="0"/>
    <xf numFmtId="0" fontId="53" fillId="0" borderId="0">
      <alignment horizontal="left"/>
    </xf>
    <xf numFmtId="0" fontId="54" fillId="0" borderId="75" applyNumberFormat="0" applyAlignment="0" applyProtection="0">
      <alignment horizontal="left" vertical="center"/>
    </xf>
    <xf numFmtId="0" fontId="54" fillId="0" borderId="2">
      <alignment horizontal="left" vertical="center"/>
    </xf>
    <xf numFmtId="10" fontId="52" fillId="17" borderId="5" applyNumberFormat="0" applyBorder="0" applyAlignment="0" applyProtection="0"/>
    <xf numFmtId="172" fontId="55" fillId="0" borderId="74"/>
    <xf numFmtId="173" fontId="32" fillId="0" borderId="0" applyFill="0" applyBorder="0" applyAlignment="0"/>
    <xf numFmtId="174" fontId="32" fillId="0" borderId="0" applyFill="0" applyBorder="0" applyAlignment="0"/>
    <xf numFmtId="173" fontId="32" fillId="0" borderId="0" applyFill="0" applyBorder="0" applyAlignment="0"/>
    <xf numFmtId="170" fontId="32" fillId="0" borderId="0" applyFill="0" applyBorder="0" applyAlignment="0"/>
    <xf numFmtId="174" fontId="32" fillId="0" borderId="0" applyFill="0" applyBorder="0" applyAlignment="0"/>
    <xf numFmtId="0" fontId="56" fillId="0" borderId="11"/>
    <xf numFmtId="37" fontId="57" fillId="0" borderId="0"/>
    <xf numFmtId="0" fontId="58" fillId="0" borderId="0"/>
    <xf numFmtId="177" fontId="32" fillId="0" borderId="0" applyFont="0" applyFill="0" applyBorder="0" applyAlignment="0" applyProtection="0"/>
    <xf numFmtId="178" fontId="59" fillId="0" borderId="0" applyFont="0" applyFill="0" applyBorder="0" applyAlignment="0" applyProtection="0"/>
    <xf numFmtId="10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32" fillId="0" borderId="0" applyFill="0" applyBorder="0" applyAlignment="0"/>
    <xf numFmtId="174" fontId="32" fillId="0" borderId="0" applyFill="0" applyBorder="0" applyAlignment="0"/>
    <xf numFmtId="173" fontId="32" fillId="0" borderId="0" applyFill="0" applyBorder="0" applyAlignment="0"/>
    <xf numFmtId="170" fontId="32" fillId="0" borderId="0" applyFill="0" applyBorder="0" applyAlignment="0"/>
    <xf numFmtId="174" fontId="32" fillId="0" borderId="0" applyFill="0" applyBorder="0" applyAlignment="0"/>
    <xf numFmtId="164" fontId="33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56" fillId="0" borderId="0"/>
    <xf numFmtId="49" fontId="51" fillId="0" borderId="0" applyFill="0" applyBorder="0" applyAlignment="0"/>
    <xf numFmtId="180" fontId="32" fillId="0" borderId="0" applyFill="0" applyBorder="0" applyAlignment="0"/>
    <xf numFmtId="181" fontId="32" fillId="0" borderId="0" applyFill="0" applyBorder="0" applyAlignment="0"/>
    <xf numFmtId="182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60" fillId="18" borderId="76" applyNumberFormat="0" applyAlignment="0" applyProtection="0"/>
    <xf numFmtId="0" fontId="60" fillId="18" borderId="76" applyNumberFormat="0" applyAlignment="0" applyProtection="0"/>
    <xf numFmtId="0" fontId="60" fillId="18" borderId="76" applyNumberFormat="0" applyAlignment="0" applyProtection="0"/>
    <xf numFmtId="0" fontId="60" fillId="18" borderId="76" applyNumberFormat="0" applyAlignment="0" applyProtection="0"/>
    <xf numFmtId="0" fontId="61" fillId="0" borderId="77" applyNumberFormat="0" applyFill="0" applyAlignment="0" applyProtection="0"/>
    <xf numFmtId="0" fontId="61" fillId="0" borderId="77" applyNumberFormat="0" applyFill="0" applyAlignment="0" applyProtection="0"/>
    <xf numFmtId="0" fontId="61" fillId="0" borderId="77" applyNumberFormat="0" applyFill="0" applyAlignment="0" applyProtection="0"/>
    <xf numFmtId="0" fontId="61" fillId="0" borderId="77" applyNumberFormat="0" applyFill="0" applyAlignment="0" applyProtection="0"/>
    <xf numFmtId="9" fontId="4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62" fillId="0" borderId="17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4" fillId="20" borderId="78" applyNumberFormat="0" applyAlignment="0" applyProtection="0"/>
    <xf numFmtId="0" fontId="64" fillId="20" borderId="78" applyNumberFormat="0" applyAlignment="0" applyProtection="0"/>
    <xf numFmtId="0" fontId="64" fillId="20" borderId="78" applyNumberFormat="0" applyAlignment="0" applyProtection="0"/>
    <xf numFmtId="0" fontId="64" fillId="20" borderId="78" applyNumberFormat="0" applyAlignment="0" applyProtection="0"/>
    <xf numFmtId="0" fontId="65" fillId="20" borderId="79" applyNumberFormat="0" applyAlignment="0" applyProtection="0"/>
    <xf numFmtId="0" fontId="65" fillId="20" borderId="79" applyNumberFormat="0" applyAlignment="0" applyProtection="0"/>
    <xf numFmtId="0" fontId="65" fillId="20" borderId="79" applyNumberFormat="0" applyAlignment="0" applyProtection="0"/>
    <xf numFmtId="0" fontId="65" fillId="20" borderId="79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11" borderId="79" applyNumberFormat="0" applyAlignment="0" applyProtection="0"/>
    <xf numFmtId="0" fontId="69" fillId="11" borderId="79" applyNumberFormat="0" applyAlignment="0" applyProtection="0"/>
    <xf numFmtId="0" fontId="69" fillId="11" borderId="79" applyNumberFormat="0" applyAlignment="0" applyProtection="0"/>
    <xf numFmtId="0" fontId="69" fillId="11" borderId="79" applyNumberFormat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1" fillId="0" borderId="80" applyNumberFormat="0" applyFill="0" applyAlignment="0" applyProtection="0"/>
    <xf numFmtId="0" fontId="71" fillId="0" borderId="80" applyNumberFormat="0" applyFill="0" applyAlignment="0" applyProtection="0"/>
    <xf numFmtId="0" fontId="71" fillId="0" borderId="80" applyNumberFormat="0" applyFill="0" applyAlignment="0" applyProtection="0"/>
    <xf numFmtId="0" fontId="71" fillId="0" borderId="80" applyNumberFormat="0" applyFill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12" fillId="8" borderId="81" applyNumberFormat="0" applyFont="0" applyAlignment="0" applyProtection="0"/>
    <xf numFmtId="0" fontId="12" fillId="8" borderId="81" applyNumberFormat="0" applyFont="0" applyAlignment="0" applyProtection="0"/>
    <xf numFmtId="0" fontId="12" fillId="8" borderId="81" applyNumberFormat="0" applyFont="0" applyAlignment="0" applyProtection="0"/>
    <xf numFmtId="0" fontId="12" fillId="8" borderId="81" applyNumberFormat="0" applyFont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2" fillId="0" borderId="82" applyNumberFormat="0" applyFill="0" applyAlignment="0" applyProtection="0"/>
    <xf numFmtId="0" fontId="73" fillId="0" borderId="83" applyNumberFormat="0" applyFill="0" applyAlignment="0" applyProtection="0"/>
    <xf numFmtId="0" fontId="73" fillId="0" borderId="83" applyNumberFormat="0" applyFill="0" applyAlignment="0" applyProtection="0"/>
    <xf numFmtId="0" fontId="73" fillId="0" borderId="83" applyNumberFormat="0" applyFill="0" applyAlignment="0" applyProtection="0"/>
    <xf numFmtId="0" fontId="73" fillId="0" borderId="83" applyNumberFormat="0" applyFill="0" applyAlignment="0" applyProtection="0"/>
    <xf numFmtId="0" fontId="74" fillId="0" borderId="84" applyNumberFormat="0" applyFill="0" applyAlignment="0" applyProtection="0"/>
    <xf numFmtId="0" fontId="74" fillId="0" borderId="84" applyNumberFormat="0" applyFill="0" applyAlignment="0" applyProtection="0"/>
    <xf numFmtId="0" fontId="74" fillId="0" borderId="84" applyNumberFormat="0" applyFill="0" applyAlignment="0" applyProtection="0"/>
    <xf numFmtId="0" fontId="74" fillId="0" borderId="84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86" fontId="99" fillId="0" borderId="0" applyFill="0" applyBorder="0" applyAlignment="0" applyProtection="0"/>
    <xf numFmtId="9" fontId="100" fillId="0" borderId="0" applyFill="0" applyBorder="0" applyAlignment="0" applyProtection="0"/>
    <xf numFmtId="0" fontId="101" fillId="0" borderId="0"/>
    <xf numFmtId="0" fontId="8" fillId="0" borderId="0"/>
    <xf numFmtId="186" fontId="8" fillId="0" borderId="0" applyFill="0" applyBorder="0" applyAlignment="0" applyProtection="0"/>
    <xf numFmtId="9" fontId="33" fillId="0" borderId="0" applyFill="0" applyBorder="0" applyAlignment="0" applyProtection="0"/>
  </cellStyleXfs>
  <cellXfs count="1846">
    <xf numFmtId="0" fontId="0" fillId="0" borderId="0" xfId="0"/>
    <xf numFmtId="4" fontId="6" fillId="0" borderId="0" xfId="2" applyNumberFormat="1" applyFont="1" applyAlignment="1">
      <alignment horizontal="center" vertical="center"/>
    </xf>
    <xf numFmtId="43" fontId="7" fillId="0" borderId="0" xfId="1" applyFont="1" applyFill="1" applyBorder="1" applyAlignment="1">
      <alignment wrapText="1"/>
    </xf>
    <xf numFmtId="4" fontId="6" fillId="0" borderId="0" xfId="2" applyNumberFormat="1" applyFont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3" fontId="7" fillId="0" borderId="0" xfId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3" fontId="7" fillId="0" borderId="0" xfId="1" applyFont="1" applyFill="1" applyBorder="1" applyAlignment="1">
      <alignment horizontal="center" vertical="center" wrapText="1"/>
    </xf>
    <xf numFmtId="41" fontId="6" fillId="0" borderId="0" xfId="1" applyNumberFormat="1" applyFont="1" applyFill="1" applyBorder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7" fillId="0" borderId="0" xfId="0" applyFont="1"/>
    <xf numFmtId="43" fontId="7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right" vertical="center"/>
    </xf>
    <xf numFmtId="43" fontId="7" fillId="2" borderId="0" xfId="0" applyNumberFormat="1" applyFont="1" applyFill="1"/>
    <xf numFmtId="0" fontId="7" fillId="0" borderId="5" xfId="0" applyFont="1" applyBorder="1" applyAlignment="1">
      <alignment horizontal="center"/>
    </xf>
    <xf numFmtId="4" fontId="7" fillId="0" borderId="5" xfId="1" applyNumberFormat="1" applyFont="1" applyFill="1" applyBorder="1" applyAlignment="1">
      <alignment horizontal="right" vertical="center"/>
    </xf>
    <xf numFmtId="3" fontId="7" fillId="2" borderId="0" xfId="0" applyNumberFormat="1" applyFont="1" applyFill="1"/>
    <xf numFmtId="3" fontId="7" fillId="0" borderId="0" xfId="1" applyNumberFormat="1" applyFont="1" applyFill="1" applyBorder="1" applyAlignment="1">
      <alignment horizontal="center"/>
    </xf>
    <xf numFmtId="3" fontId="7" fillId="0" borderId="3" xfId="1" applyNumberFormat="1" applyFont="1" applyFill="1" applyBorder="1" applyAlignment="1">
      <alignment horizontal="center"/>
    </xf>
    <xf numFmtId="0" fontId="7" fillId="0" borderId="3" xfId="0" applyFont="1" applyBorder="1"/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167" fontId="7" fillId="0" borderId="5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43" fontId="7" fillId="0" borderId="5" xfId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/>
    </xf>
    <xf numFmtId="4" fontId="6" fillId="0" borderId="6" xfId="1" applyNumberFormat="1" applyFont="1" applyFill="1" applyBorder="1" applyAlignment="1">
      <alignment horizontal="right" vertical="center"/>
    </xf>
    <xf numFmtId="0" fontId="3" fillId="0" borderId="27" xfId="0" applyFont="1" applyBorder="1"/>
    <xf numFmtId="0" fontId="3" fillId="0" borderId="22" xfId="0" applyFont="1" applyBorder="1"/>
    <xf numFmtId="0" fontId="18" fillId="0" borderId="23" xfId="0" applyFont="1" applyBorder="1"/>
    <xf numFmtId="0" fontId="18" fillId="0" borderId="22" xfId="0" applyFont="1" applyBorder="1"/>
    <xf numFmtId="166" fontId="18" fillId="0" borderId="22" xfId="0" applyNumberFormat="1" applyFont="1" applyBorder="1" applyAlignment="1">
      <alignment horizontal="center"/>
    </xf>
    <xf numFmtId="166" fontId="4" fillId="0" borderId="5" xfId="0" applyNumberFormat="1" applyFont="1" applyBorder="1"/>
    <xf numFmtId="0" fontId="4" fillId="0" borderId="1" xfId="0" applyFont="1" applyBorder="1"/>
    <xf numFmtId="4" fontId="4" fillId="0" borderId="31" xfId="0" applyNumberFormat="1" applyFont="1" applyBorder="1"/>
    <xf numFmtId="0" fontId="3" fillId="0" borderId="7" xfId="0" applyFont="1" applyBorder="1"/>
    <xf numFmtId="0" fontId="3" fillId="0" borderId="2" xfId="0" applyFont="1" applyBorder="1"/>
    <xf numFmtId="0" fontId="18" fillId="0" borderId="3" xfId="0" applyFont="1" applyBorder="1"/>
    <xf numFmtId="0" fontId="18" fillId="0" borderId="2" xfId="0" applyFont="1" applyBorder="1"/>
    <xf numFmtId="166" fontId="18" fillId="0" borderId="2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8" fillId="0" borderId="12" xfId="0" applyFont="1" applyBorder="1"/>
    <xf numFmtId="0" fontId="18" fillId="0" borderId="11" xfId="0" applyFont="1" applyBorder="1"/>
    <xf numFmtId="166" fontId="18" fillId="0" borderId="11" xfId="0" applyNumberFormat="1" applyFont="1" applyBorder="1" applyAlignment="1">
      <alignment horizontal="center"/>
    </xf>
    <xf numFmtId="166" fontId="4" fillId="0" borderId="32" xfId="0" applyNumberFormat="1" applyFont="1" applyBorder="1"/>
    <xf numFmtId="0" fontId="4" fillId="0" borderId="33" xfId="0" applyFont="1" applyBorder="1"/>
    <xf numFmtId="4" fontId="4" fillId="0" borderId="34" xfId="0" applyNumberFormat="1" applyFont="1" applyBorder="1"/>
    <xf numFmtId="4" fontId="6" fillId="0" borderId="18" xfId="2" applyNumberFormat="1" applyFont="1" applyBorder="1" applyAlignment="1">
      <alignment horizontal="center"/>
    </xf>
    <xf numFmtId="4" fontId="6" fillId="0" borderId="19" xfId="2" applyNumberFormat="1" applyFont="1" applyBorder="1" applyAlignment="1">
      <alignment horizontal="center"/>
    </xf>
    <xf numFmtId="4" fontId="6" fillId="0" borderId="24" xfId="2" applyNumberFormat="1" applyFont="1" applyBorder="1" applyAlignment="1">
      <alignment horizontal="center"/>
    </xf>
    <xf numFmtId="4" fontId="6" fillId="0" borderId="23" xfId="2" applyNumberFormat="1" applyFont="1" applyBorder="1" applyAlignment="1">
      <alignment horizontal="center"/>
    </xf>
    <xf numFmtId="4" fontId="6" fillId="0" borderId="9" xfId="2" applyNumberFormat="1" applyFont="1" applyBorder="1" applyAlignment="1">
      <alignment horizontal="center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right"/>
    </xf>
    <xf numFmtId="3" fontId="7" fillId="0" borderId="26" xfId="1" applyNumberFormat="1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43" fontId="7" fillId="0" borderId="18" xfId="1" applyFont="1" applyFill="1" applyBorder="1" applyAlignment="1">
      <alignment horizontal="center" vertical="center"/>
    </xf>
    <xf numFmtId="4" fontId="7" fillId="0" borderId="18" xfId="1" applyNumberFormat="1" applyFont="1" applyFill="1" applyBorder="1" applyAlignment="1">
      <alignment horizontal="center" vertical="center"/>
    </xf>
    <xf numFmtId="43" fontId="7" fillId="0" borderId="18" xfId="1" applyFont="1" applyFill="1" applyBorder="1"/>
    <xf numFmtId="4" fontId="6" fillId="0" borderId="8" xfId="1" applyNumberFormat="1" applyFont="1" applyFill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3" fontId="6" fillId="0" borderId="32" xfId="1" applyNumberFormat="1" applyFont="1" applyFill="1" applyBorder="1" applyAlignment="1">
      <alignment horizontal="right" vertical="center"/>
    </xf>
    <xf numFmtId="4" fontId="6" fillId="0" borderId="38" xfId="1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/>
    <xf numFmtId="43" fontId="6" fillId="3" borderId="3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43" fontId="6" fillId="3" borderId="5" xfId="1" applyFont="1" applyFill="1" applyBorder="1" applyAlignment="1">
      <alignment horizontal="right"/>
    </xf>
    <xf numFmtId="4" fontId="6" fillId="3" borderId="6" xfId="1" applyNumberFormat="1" applyFont="1" applyFill="1" applyBorder="1" applyAlignment="1">
      <alignment horizontal="right"/>
    </xf>
    <xf numFmtId="0" fontId="19" fillId="2" borderId="27" xfId="0" applyFont="1" applyFill="1" applyBorder="1"/>
    <xf numFmtId="0" fontId="3" fillId="2" borderId="22" xfId="0" applyFont="1" applyFill="1" applyBorder="1"/>
    <xf numFmtId="0" fontId="18" fillId="2" borderId="23" xfId="0" applyFont="1" applyFill="1" applyBorder="1"/>
    <xf numFmtId="0" fontId="18" fillId="2" borderId="22" xfId="0" applyFont="1" applyFill="1" applyBorder="1"/>
    <xf numFmtId="166" fontId="18" fillId="2" borderId="22" xfId="0" applyNumberFormat="1" applyFont="1" applyFill="1" applyBorder="1" applyAlignment="1">
      <alignment horizontal="center"/>
    </xf>
    <xf numFmtId="0" fontId="19" fillId="2" borderId="7" xfId="0" applyFont="1" applyFill="1" applyBorder="1"/>
    <xf numFmtId="0" fontId="3" fillId="2" borderId="2" xfId="0" applyFont="1" applyFill="1" applyBorder="1"/>
    <xf numFmtId="0" fontId="18" fillId="2" borderId="3" xfId="0" applyFont="1" applyFill="1" applyBorder="1"/>
    <xf numFmtId="0" fontId="18" fillId="2" borderId="2" xfId="0" applyFont="1" applyFill="1" applyBorder="1"/>
    <xf numFmtId="166" fontId="18" fillId="2" borderId="2" xfId="0" applyNumberFormat="1" applyFont="1" applyFill="1" applyBorder="1" applyAlignment="1">
      <alignment horizontal="center"/>
    </xf>
    <xf numFmtId="0" fontId="4" fillId="2" borderId="1" xfId="0" applyFont="1" applyFill="1" applyBorder="1"/>
    <xf numFmtId="4" fontId="4" fillId="2" borderId="31" xfId="0" applyNumberFormat="1" applyFont="1" applyFill="1" applyBorder="1"/>
    <xf numFmtId="0" fontId="19" fillId="2" borderId="10" xfId="0" applyFont="1" applyFill="1" applyBorder="1"/>
    <xf numFmtId="0" fontId="3" fillId="2" borderId="11" xfId="0" applyFont="1" applyFill="1" applyBorder="1"/>
    <xf numFmtId="0" fontId="18" fillId="2" borderId="12" xfId="0" applyFont="1" applyFill="1" applyBorder="1"/>
    <xf numFmtId="0" fontId="18" fillId="2" borderId="11" xfId="0" applyFont="1" applyFill="1" applyBorder="1"/>
    <xf numFmtId="166" fontId="18" fillId="2" borderId="11" xfId="0" applyNumberFormat="1" applyFont="1" applyFill="1" applyBorder="1" applyAlignment="1">
      <alignment horizontal="center"/>
    </xf>
    <xf numFmtId="4" fontId="6" fillId="2" borderId="18" xfId="2" applyNumberFormat="1" applyFont="1" applyFill="1" applyBorder="1" applyAlignment="1">
      <alignment horizontal="center"/>
    </xf>
    <xf numFmtId="4" fontId="6" fillId="2" borderId="19" xfId="2" applyNumberFormat="1" applyFont="1" applyFill="1" applyBorder="1" applyAlignment="1">
      <alignment horizontal="center"/>
    </xf>
    <xf numFmtId="4" fontId="6" fillId="2" borderId="24" xfId="2" applyNumberFormat="1" applyFont="1" applyFill="1" applyBorder="1" applyAlignment="1">
      <alignment horizontal="center"/>
    </xf>
    <xf numFmtId="4" fontId="6" fillId="2" borderId="23" xfId="2" applyNumberFormat="1" applyFont="1" applyFill="1" applyBorder="1" applyAlignment="1">
      <alignment horizontal="center"/>
    </xf>
    <xf numFmtId="4" fontId="6" fillId="2" borderId="9" xfId="2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4" borderId="3" xfId="0" applyFont="1" applyFill="1" applyBorder="1"/>
    <xf numFmtId="43" fontId="7" fillId="4" borderId="3" xfId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43" fontId="7" fillId="4" borderId="5" xfId="1" applyFont="1" applyFill="1" applyBorder="1" applyAlignment="1">
      <alignment horizontal="right"/>
    </xf>
    <xf numFmtId="0" fontId="6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6" fillId="2" borderId="3" xfId="0" applyFont="1" applyFill="1" applyBorder="1"/>
    <xf numFmtId="167" fontId="7" fillId="2" borderId="5" xfId="1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" fontId="7" fillId="2" borderId="5" xfId="1" applyNumberFormat="1" applyFont="1" applyFill="1" applyBorder="1" applyAlignment="1">
      <alignment horizontal="right" vertical="center"/>
    </xf>
    <xf numFmtId="43" fontId="7" fillId="2" borderId="5" xfId="1" applyFont="1" applyFill="1" applyBorder="1" applyAlignment="1">
      <alignment horizontal="right" vertical="center"/>
    </xf>
    <xf numFmtId="43" fontId="7" fillId="2" borderId="5" xfId="1" applyFont="1" applyFill="1" applyBorder="1" applyAlignment="1">
      <alignment horizontal="right"/>
    </xf>
    <xf numFmtId="4" fontId="6" fillId="2" borderId="6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3" xfId="0" quotePrefix="1" applyFont="1" applyFill="1" applyBorder="1"/>
    <xf numFmtId="43" fontId="7" fillId="2" borderId="5" xfId="1" applyFont="1" applyFill="1" applyBorder="1" applyAlignment="1">
      <alignment horizontal="center"/>
    </xf>
    <xf numFmtId="43" fontId="7" fillId="2" borderId="18" xfId="1" applyFont="1" applyFill="1" applyBorder="1" applyAlignment="1">
      <alignment horizontal="center"/>
    </xf>
    <xf numFmtId="4" fontId="7" fillId="4" borderId="6" xfId="1" applyNumberFormat="1" applyFont="1" applyFill="1" applyBorder="1" applyAlignment="1">
      <alignment horizontal="right"/>
    </xf>
    <xf numFmtId="3" fontId="7" fillId="2" borderId="3" xfId="1" applyNumberFormat="1" applyFont="1" applyFill="1" applyBorder="1" applyAlignment="1">
      <alignment horizontal="center"/>
    </xf>
    <xf numFmtId="0" fontId="8" fillId="2" borderId="3" xfId="0" applyFont="1" applyFill="1" applyBorder="1"/>
    <xf numFmtId="0" fontId="6" fillId="2" borderId="39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right"/>
    </xf>
    <xf numFmtId="0" fontId="7" fillId="2" borderId="26" xfId="0" applyFont="1" applyFill="1" applyBorder="1"/>
    <xf numFmtId="3" fontId="7" fillId="2" borderId="26" xfId="1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43" fontId="7" fillId="2" borderId="18" xfId="1" applyFont="1" applyFill="1" applyBorder="1" applyAlignment="1">
      <alignment horizontal="center" vertical="center"/>
    </xf>
    <xf numFmtId="4" fontId="7" fillId="2" borderId="18" xfId="1" applyNumberFormat="1" applyFont="1" applyFill="1" applyBorder="1" applyAlignment="1">
      <alignment horizontal="center" vertical="center"/>
    </xf>
    <xf numFmtId="43" fontId="7" fillId="2" borderId="18" xfId="1" applyFont="1" applyFill="1" applyBorder="1"/>
    <xf numFmtId="4" fontId="6" fillId="2" borderId="8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right" vertical="center"/>
    </xf>
    <xf numFmtId="4" fontId="6" fillId="2" borderId="38" xfId="1" applyNumberFormat="1" applyFont="1" applyFill="1" applyBorder="1" applyAlignment="1">
      <alignment horizontal="right" vertical="center"/>
    </xf>
    <xf numFmtId="0" fontId="25" fillId="2" borderId="0" xfId="0" applyFont="1" applyFill="1"/>
    <xf numFmtId="0" fontId="25" fillId="0" borderId="0" xfId="0" applyFont="1"/>
    <xf numFmtId="0" fontId="3" fillId="2" borderId="27" xfId="0" applyFont="1" applyFill="1" applyBorder="1"/>
    <xf numFmtId="166" fontId="4" fillId="2" borderId="5" xfId="0" applyNumberFormat="1" applyFont="1" applyFill="1" applyBorder="1"/>
    <xf numFmtId="0" fontId="3" fillId="2" borderId="7" xfId="0" applyFont="1" applyFill="1" applyBorder="1"/>
    <xf numFmtId="0" fontId="3" fillId="2" borderId="10" xfId="0" applyFont="1" applyFill="1" applyBorder="1"/>
    <xf numFmtId="166" fontId="4" fillId="2" borderId="32" xfId="0" applyNumberFormat="1" applyFont="1" applyFill="1" applyBorder="1"/>
    <xf numFmtId="0" fontId="4" fillId="2" borderId="33" xfId="0" applyFont="1" applyFill="1" applyBorder="1"/>
    <xf numFmtId="4" fontId="4" fillId="2" borderId="34" xfId="0" applyNumberFormat="1" applyFont="1" applyFill="1" applyBorder="1"/>
    <xf numFmtId="0" fontId="21" fillId="2" borderId="0" xfId="0" applyFont="1" applyFill="1" applyAlignment="1">
      <alignment horizontal="center"/>
    </xf>
    <xf numFmtId="0" fontId="21" fillId="2" borderId="0" xfId="0" applyFont="1" applyFill="1"/>
    <xf numFmtId="43" fontId="21" fillId="0" borderId="0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9" fillId="2" borderId="40" xfId="0" applyFont="1" applyFill="1" applyBorder="1"/>
    <xf numFmtId="167" fontId="21" fillId="0" borderId="0" xfId="1" applyNumberFormat="1" applyFont="1" applyFill="1" applyBorder="1" applyAlignment="1">
      <alignment horizontal="center"/>
    </xf>
    <xf numFmtId="4" fontId="21" fillId="0" borderId="5" xfId="1" applyNumberFormat="1" applyFont="1" applyFill="1" applyBorder="1" applyAlignment="1">
      <alignment horizontal="right" vertical="center"/>
    </xf>
    <xf numFmtId="0" fontId="21" fillId="0" borderId="0" xfId="0" applyFont="1"/>
    <xf numFmtId="0" fontId="8" fillId="0" borderId="19" xfId="0" applyFont="1" applyBorder="1"/>
    <xf numFmtId="0" fontId="8" fillId="0" borderId="23" xfId="0" applyFont="1" applyBorder="1"/>
    <xf numFmtId="0" fontId="7" fillId="0" borderId="2" xfId="0" applyFont="1" applyBorder="1" applyAlignment="1">
      <alignment horizontal="right"/>
    </xf>
    <xf numFmtId="0" fontId="9" fillId="0" borderId="3" xfId="0" applyFont="1" applyBorder="1"/>
    <xf numFmtId="0" fontId="8" fillId="0" borderId="3" xfId="0" quotePrefix="1" applyFont="1" applyBorder="1"/>
    <xf numFmtId="0" fontId="8" fillId="2" borderId="3" xfId="0" quotePrefix="1" applyFont="1" applyFill="1" applyBorder="1"/>
    <xf numFmtId="0" fontId="8" fillId="2" borderId="3" xfId="3" applyFont="1" applyFill="1" applyBorder="1"/>
    <xf numFmtId="0" fontId="8" fillId="2" borderId="3" xfId="3" quotePrefix="1" applyFont="1" applyFill="1" applyBorder="1"/>
    <xf numFmtId="4" fontId="21" fillId="0" borderId="1" xfId="1" applyNumberFormat="1" applyFont="1" applyFill="1" applyBorder="1" applyAlignment="1">
      <alignment horizontal="center" vertical="center"/>
    </xf>
    <xf numFmtId="0" fontId="27" fillId="2" borderId="3" xfId="3" quotePrefix="1" applyFont="1" applyFill="1" applyBorder="1"/>
    <xf numFmtId="168" fontId="7" fillId="2" borderId="5" xfId="1" applyNumberFormat="1" applyFont="1" applyFill="1" applyBorder="1" applyAlignment="1">
      <alignment horizontal="right" vertical="center"/>
    </xf>
    <xf numFmtId="0" fontId="27" fillId="0" borderId="3" xfId="3" quotePrefix="1" applyFont="1" applyBorder="1"/>
    <xf numFmtId="0" fontId="8" fillId="0" borderId="3" xfId="3" quotePrefix="1" applyFont="1" applyBorder="1"/>
    <xf numFmtId="168" fontId="7" fillId="0" borderId="5" xfId="1" applyNumberFormat="1" applyFont="1" applyFill="1" applyBorder="1" applyAlignment="1">
      <alignment horizontal="right" vertical="center"/>
    </xf>
    <xf numFmtId="43" fontId="21" fillId="2" borderId="0" xfId="0" applyNumberFormat="1" applyFont="1" applyFill="1"/>
    <xf numFmtId="43" fontId="21" fillId="0" borderId="0" xfId="0" applyNumberFormat="1" applyFont="1" applyAlignment="1">
      <alignment horizontal="center"/>
    </xf>
    <xf numFmtId="0" fontId="9" fillId="2" borderId="3" xfId="3" quotePrefix="1" applyFont="1" applyFill="1" applyBorder="1" applyAlignment="1">
      <alignment horizontal="right"/>
    </xf>
    <xf numFmtId="43" fontId="28" fillId="2" borderId="5" xfId="1" applyFont="1" applyFill="1" applyBorder="1" applyAlignment="1">
      <alignment horizontal="right" vertical="center"/>
    </xf>
    <xf numFmtId="0" fontId="26" fillId="2" borderId="4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30" fillId="2" borderId="3" xfId="3" quotePrefix="1" applyFont="1" applyFill="1" applyBorder="1"/>
    <xf numFmtId="9" fontId="21" fillId="2" borderId="5" xfId="1" applyNumberFormat="1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43" fontId="26" fillId="2" borderId="5" xfId="1" applyFont="1" applyFill="1" applyBorder="1" applyAlignment="1">
      <alignment horizontal="right" vertical="center"/>
    </xf>
    <xf numFmtId="168" fontId="21" fillId="0" borderId="5" xfId="1" applyNumberFormat="1" applyFont="1" applyFill="1" applyBorder="1" applyAlignment="1">
      <alignment horizontal="right" vertical="center"/>
    </xf>
    <xf numFmtId="43" fontId="21" fillId="0" borderId="5" xfId="1" applyFont="1" applyFill="1" applyBorder="1" applyAlignment="1">
      <alignment horizontal="right"/>
    </xf>
    <xf numFmtId="4" fontId="26" fillId="0" borderId="6" xfId="1" applyNumberFormat="1" applyFont="1" applyFill="1" applyBorder="1" applyAlignment="1">
      <alignment horizontal="right" vertical="center"/>
    </xf>
    <xf numFmtId="4" fontId="21" fillId="0" borderId="0" xfId="1" applyNumberFormat="1" applyFont="1" applyFill="1" applyBorder="1" applyAlignment="1">
      <alignment horizontal="right" vertical="center"/>
    </xf>
    <xf numFmtId="43" fontId="21" fillId="0" borderId="0" xfId="1" applyFont="1" applyFill="1" applyBorder="1" applyAlignment="1">
      <alignment horizontal="right" vertical="center"/>
    </xf>
    <xf numFmtId="43" fontId="21" fillId="0" borderId="0" xfId="1" applyFont="1" applyFill="1" applyBorder="1" applyAlignment="1">
      <alignment horizontal="right"/>
    </xf>
    <xf numFmtId="3" fontId="26" fillId="0" borderId="0" xfId="1" applyNumberFormat="1" applyFont="1" applyFill="1" applyBorder="1" applyAlignment="1">
      <alignment horizontal="right" vertical="center"/>
    </xf>
    <xf numFmtId="3" fontId="21" fillId="0" borderId="0" xfId="1" applyNumberFormat="1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24" xfId="2" applyFont="1" applyFill="1" applyBorder="1" applyAlignment="1">
      <alignment horizontal="center" vertical="center" wrapText="1"/>
    </xf>
    <xf numFmtId="43" fontId="18" fillId="2" borderId="22" xfId="1" applyFont="1" applyFill="1" applyBorder="1" applyAlignment="1">
      <alignment horizontal="center"/>
    </xf>
    <xf numFmtId="43" fontId="18" fillId="2" borderId="22" xfId="1" applyFont="1" applyFill="1" applyBorder="1"/>
    <xf numFmtId="43" fontId="19" fillId="2" borderId="5" xfId="1" applyFont="1" applyFill="1" applyBorder="1"/>
    <xf numFmtId="43" fontId="18" fillId="2" borderId="2" xfId="1" applyFont="1" applyFill="1" applyBorder="1" applyAlignment="1">
      <alignment horizontal="center"/>
    </xf>
    <xf numFmtId="43" fontId="18" fillId="2" borderId="2" xfId="1" applyFont="1" applyFill="1" applyBorder="1"/>
    <xf numFmtId="43" fontId="4" fillId="2" borderId="1" xfId="1" applyFont="1" applyFill="1" applyBorder="1" applyAlignment="1"/>
    <xf numFmtId="43" fontId="4" fillId="2" borderId="31" xfId="1" applyFont="1" applyFill="1" applyBorder="1" applyAlignment="1"/>
    <xf numFmtId="43" fontId="18" fillId="2" borderId="11" xfId="1" applyFont="1" applyFill="1" applyBorder="1" applyAlignment="1">
      <alignment horizontal="center"/>
    </xf>
    <xf numFmtId="43" fontId="18" fillId="2" borderId="11" xfId="1" applyFont="1" applyFill="1" applyBorder="1"/>
    <xf numFmtId="43" fontId="19" fillId="2" borderId="32" xfId="1" applyFont="1" applyFill="1" applyBorder="1"/>
    <xf numFmtId="43" fontId="6" fillId="2" borderId="18" xfId="1" applyFont="1" applyFill="1" applyBorder="1" applyAlignment="1">
      <alignment horizontal="center"/>
    </xf>
    <xf numFmtId="43" fontId="6" fillId="2" borderId="19" xfId="1" applyFont="1" applyFill="1" applyBorder="1" applyAlignment="1">
      <alignment horizontal="center"/>
    </xf>
    <xf numFmtId="43" fontId="6" fillId="2" borderId="24" xfId="1" applyFont="1" applyFill="1" applyBorder="1" applyAlignment="1">
      <alignment horizontal="center"/>
    </xf>
    <xf numFmtId="43" fontId="6" fillId="2" borderId="23" xfId="1" applyFont="1" applyFill="1" applyBorder="1" applyAlignment="1">
      <alignment horizontal="center"/>
    </xf>
    <xf numFmtId="43" fontId="6" fillId="2" borderId="9" xfId="1" applyFont="1" applyFill="1" applyBorder="1" applyAlignment="1">
      <alignment horizontal="center"/>
    </xf>
    <xf numFmtId="43" fontId="6" fillId="2" borderId="6" xfId="1" applyFont="1" applyFill="1" applyBorder="1" applyAlignment="1">
      <alignment horizontal="right" vertical="center"/>
    </xf>
    <xf numFmtId="43" fontId="7" fillId="4" borderId="6" xfId="1" applyFont="1" applyFill="1" applyBorder="1" applyAlignment="1">
      <alignment horizontal="right"/>
    </xf>
    <xf numFmtId="43" fontId="6" fillId="2" borderId="6" xfId="1" applyFont="1" applyFill="1" applyBorder="1" applyAlignment="1">
      <alignment horizontal="right"/>
    </xf>
    <xf numFmtId="43" fontId="6" fillId="2" borderId="8" xfId="1" applyFont="1" applyFill="1" applyBorder="1" applyAlignment="1">
      <alignment vertical="center"/>
    </xf>
    <xf numFmtId="43" fontId="6" fillId="2" borderId="32" xfId="1" applyFont="1" applyFill="1" applyBorder="1" applyAlignment="1">
      <alignment horizontal="right" vertical="center"/>
    </xf>
    <xf numFmtId="43" fontId="6" fillId="2" borderId="38" xfId="1" applyFont="1" applyFill="1" applyBorder="1" applyAlignment="1">
      <alignment horizontal="right" vertical="center"/>
    </xf>
    <xf numFmtId="43" fontId="7" fillId="2" borderId="0" xfId="1" applyFont="1" applyFill="1"/>
    <xf numFmtId="43" fontId="8" fillId="2" borderId="0" xfId="0" applyNumberFormat="1" applyFont="1" applyFill="1"/>
    <xf numFmtId="43" fontId="8" fillId="0" borderId="0" xfId="0" applyNumberFormat="1" applyFont="1"/>
    <xf numFmtId="0" fontId="7" fillId="2" borderId="25" xfId="0" applyFont="1" applyFill="1" applyBorder="1" applyAlignment="1">
      <alignment horizontal="center"/>
    </xf>
    <xf numFmtId="0" fontId="7" fillId="2" borderId="19" xfId="0" applyFont="1" applyFill="1" applyBorder="1"/>
    <xf numFmtId="43" fontId="7" fillId="2" borderId="3" xfId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7" fontId="7" fillId="2" borderId="3" xfId="1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 wrapText="1"/>
    </xf>
    <xf numFmtId="43" fontId="7" fillId="0" borderId="0" xfId="0" applyNumberFormat="1" applyFont="1"/>
    <xf numFmtId="43" fontId="6" fillId="0" borderId="18" xfId="1" applyFont="1" applyFill="1" applyBorder="1" applyAlignment="1">
      <alignment horizontal="center" vertical="center"/>
    </xf>
    <xf numFmtId="4" fontId="6" fillId="0" borderId="18" xfId="1" applyNumberFormat="1" applyFont="1" applyFill="1" applyBorder="1" applyAlignment="1">
      <alignment horizontal="center" vertical="center"/>
    </xf>
    <xf numFmtId="43" fontId="6" fillId="0" borderId="18" xfId="1" applyFont="1" applyFill="1" applyBorder="1"/>
    <xf numFmtId="43" fontId="6" fillId="0" borderId="6" xfId="1" applyFont="1" applyFill="1" applyBorder="1" applyAlignment="1">
      <alignment horizontal="right" vertical="center"/>
    </xf>
    <xf numFmtId="0" fontId="75" fillId="2" borderId="0" xfId="12" applyFont="1" applyFill="1" applyAlignment="1"/>
    <xf numFmtId="0" fontId="76" fillId="2" borderId="0" xfId="12" applyFont="1" applyFill="1" applyAlignment="1"/>
    <xf numFmtId="3" fontId="76" fillId="2" borderId="0" xfId="12" applyNumberFormat="1" applyFont="1" applyFill="1" applyAlignment="1">
      <alignment horizontal="center"/>
    </xf>
    <xf numFmtId="0" fontId="77" fillId="2" borderId="0" xfId="12" applyFont="1" applyFill="1" applyAlignment="1"/>
    <xf numFmtId="3" fontId="76" fillId="2" borderId="0" xfId="12" applyNumberFormat="1" applyFont="1" applyFill="1" applyAlignment="1"/>
    <xf numFmtId="3" fontId="75" fillId="2" borderId="18" xfId="12" applyNumberFormat="1" applyFont="1" applyFill="1" applyBorder="1" applyAlignment="1">
      <alignment horizontal="center" vertical="center"/>
    </xf>
    <xf numFmtId="169" fontId="75" fillId="2" borderId="0" xfId="14" applyNumberFormat="1" applyFont="1" applyFill="1" applyAlignment="1">
      <alignment horizontal="center" vertical="center"/>
    </xf>
    <xf numFmtId="0" fontId="76" fillId="2" borderId="0" xfId="12" applyFont="1" applyFill="1" applyAlignment="1">
      <alignment horizontal="center" vertical="center"/>
    </xf>
    <xf numFmtId="0" fontId="75" fillId="2" borderId="5" xfId="12" applyFont="1" applyFill="1" applyBorder="1" applyAlignment="1">
      <alignment horizontal="center" vertical="center"/>
    </xf>
    <xf numFmtId="0" fontId="75" fillId="2" borderId="1" xfId="12" applyFont="1" applyFill="1" applyBorder="1" applyAlignment="1">
      <alignment horizontal="center" vertical="center"/>
    </xf>
    <xf numFmtId="3" fontId="75" fillId="2" borderId="24" xfId="12" applyNumberFormat="1" applyFont="1" applyFill="1" applyBorder="1" applyAlignment="1">
      <alignment horizontal="center" vertical="center"/>
    </xf>
    <xf numFmtId="0" fontId="75" fillId="2" borderId="46" xfId="12" applyFont="1" applyFill="1" applyBorder="1" applyAlignment="1">
      <alignment horizontal="center" vertical="center"/>
    </xf>
    <xf numFmtId="3" fontId="75" fillId="2" borderId="46" xfId="12" applyNumberFormat="1" applyFont="1" applyFill="1" applyBorder="1" applyAlignment="1">
      <alignment horizontal="center" vertical="center"/>
    </xf>
    <xf numFmtId="0" fontId="75" fillId="2" borderId="43" xfId="12" applyFont="1" applyFill="1" applyBorder="1" applyAlignment="1">
      <alignment horizontal="center" vertical="center"/>
    </xf>
    <xf numFmtId="0" fontId="76" fillId="2" borderId="61" xfId="12" applyFont="1" applyFill="1" applyBorder="1" applyAlignment="1"/>
    <xf numFmtId="3" fontId="76" fillId="2" borderId="61" xfId="12" applyNumberFormat="1" applyFont="1" applyFill="1" applyBorder="1" applyAlignment="1">
      <alignment horizontal="center"/>
    </xf>
    <xf numFmtId="0" fontId="76" fillId="2" borderId="61" xfId="12" applyFont="1" applyFill="1" applyBorder="1" applyAlignment="1">
      <alignment horizontal="center"/>
    </xf>
    <xf numFmtId="0" fontId="76" fillId="2" borderId="62" xfId="12" applyFont="1" applyFill="1" applyBorder="1" applyAlignment="1">
      <alignment horizontal="center"/>
    </xf>
    <xf numFmtId="0" fontId="76" fillId="2" borderId="52" xfId="12" applyFont="1" applyFill="1" applyBorder="1" applyAlignment="1">
      <alignment horizontal="center"/>
    </xf>
    <xf numFmtId="3" fontId="76" fillId="2" borderId="52" xfId="14" applyNumberFormat="1" applyFont="1" applyFill="1" applyBorder="1" applyAlignment="1">
      <alignment horizontal="center"/>
    </xf>
    <xf numFmtId="166" fontId="76" fillId="2" borderId="52" xfId="14" applyFont="1" applyFill="1" applyBorder="1"/>
    <xf numFmtId="166" fontId="76" fillId="2" borderId="49" xfId="14" applyFont="1" applyFill="1" applyBorder="1" applyAlignment="1">
      <alignment horizontal="center"/>
    </xf>
    <xf numFmtId="0" fontId="76" fillId="2" borderId="15" xfId="12" applyFont="1" applyFill="1" applyBorder="1" applyAlignment="1">
      <alignment horizontal="center"/>
    </xf>
    <xf numFmtId="3" fontId="76" fillId="2" borderId="15" xfId="14" applyNumberFormat="1" applyFont="1" applyFill="1" applyBorder="1" applyAlignment="1">
      <alignment horizontal="center"/>
    </xf>
    <xf numFmtId="166" fontId="76" fillId="2" borderId="15" xfId="14" applyFont="1" applyFill="1" applyBorder="1"/>
    <xf numFmtId="166" fontId="76" fillId="2" borderId="16" xfId="14" applyFont="1" applyFill="1" applyBorder="1" applyAlignment="1">
      <alignment horizontal="center"/>
    </xf>
    <xf numFmtId="0" fontId="76" fillId="2" borderId="5" xfId="12" applyFont="1" applyFill="1" applyBorder="1" applyAlignment="1">
      <alignment horizontal="center"/>
    </xf>
    <xf numFmtId="3" fontId="76" fillId="2" borderId="5" xfId="14" applyNumberFormat="1" applyFont="1" applyFill="1" applyBorder="1" applyAlignment="1">
      <alignment horizontal="center"/>
    </xf>
    <xf numFmtId="166" fontId="76" fillId="2" borderId="5" xfId="14" applyFont="1" applyFill="1" applyBorder="1"/>
    <xf numFmtId="166" fontId="76" fillId="2" borderId="1" xfId="14" applyFont="1" applyFill="1" applyBorder="1"/>
    <xf numFmtId="166" fontId="75" fillId="2" borderId="5" xfId="14" applyFont="1" applyFill="1" applyBorder="1"/>
    <xf numFmtId="0" fontId="75" fillId="2" borderId="61" xfId="12" applyFont="1" applyFill="1" applyBorder="1" applyAlignment="1">
      <alignment horizontal="center"/>
    </xf>
    <xf numFmtId="3" fontId="75" fillId="2" borderId="61" xfId="12" applyNumberFormat="1" applyFont="1" applyFill="1" applyBorder="1" applyAlignment="1">
      <alignment horizontal="center"/>
    </xf>
    <xf numFmtId="3" fontId="76" fillId="2" borderId="61" xfId="12" applyNumberFormat="1" applyFont="1" applyFill="1" applyBorder="1" applyAlignment="1"/>
    <xf numFmtId="3" fontId="76" fillId="2" borderId="62" xfId="12" applyNumberFormat="1" applyFont="1" applyFill="1" applyBorder="1" applyAlignment="1"/>
    <xf numFmtId="0" fontId="76" fillId="2" borderId="52" xfId="12" applyFont="1" applyFill="1" applyBorder="1" applyAlignment="1"/>
    <xf numFmtId="0" fontId="75" fillId="2" borderId="46" xfId="12" applyFont="1" applyFill="1" applyBorder="1" applyAlignment="1">
      <alignment horizontal="center"/>
    </xf>
    <xf numFmtId="0" fontId="76" fillId="2" borderId="46" xfId="12" applyFont="1" applyFill="1" applyBorder="1" applyAlignment="1"/>
    <xf numFmtId="3" fontId="76" fillId="2" borderId="46" xfId="12" applyNumberFormat="1" applyFont="1" applyFill="1" applyBorder="1" applyAlignment="1">
      <alignment horizontal="center"/>
    </xf>
    <xf numFmtId="0" fontId="76" fillId="2" borderId="46" xfId="12" applyFont="1" applyFill="1" applyBorder="1" applyAlignment="1">
      <alignment horizontal="center"/>
    </xf>
    <xf numFmtId="0" fontId="76" fillId="2" borderId="43" xfId="12" applyFont="1" applyFill="1" applyBorder="1" applyAlignment="1">
      <alignment horizontal="center"/>
    </xf>
    <xf numFmtId="3" fontId="78" fillId="2" borderId="52" xfId="12" applyNumberFormat="1" applyFont="1" applyFill="1" applyBorder="1" applyAlignment="1">
      <alignment horizontal="center"/>
    </xf>
    <xf numFmtId="3" fontId="76" fillId="2" borderId="52" xfId="12" applyNumberFormat="1" applyFont="1" applyFill="1" applyBorder="1" applyAlignment="1"/>
    <xf numFmtId="3" fontId="76" fillId="2" borderId="49" xfId="12" applyNumberFormat="1" applyFont="1" applyFill="1" applyBorder="1" applyAlignment="1"/>
    <xf numFmtId="166" fontId="76" fillId="2" borderId="49" xfId="14" applyFont="1" applyFill="1" applyBorder="1"/>
    <xf numFmtId="0" fontId="76" fillId="2" borderId="63" xfId="12" applyFont="1" applyFill="1" applyBorder="1" applyAlignment="1">
      <alignment horizontal="center"/>
    </xf>
    <xf numFmtId="3" fontId="76" fillId="2" borderId="63" xfId="14" applyNumberFormat="1" applyFont="1" applyFill="1" applyBorder="1" applyAlignment="1">
      <alignment horizontal="center"/>
    </xf>
    <xf numFmtId="166" fontId="76" fillId="2" borderId="63" xfId="14" applyFont="1" applyFill="1" applyBorder="1"/>
    <xf numFmtId="166" fontId="76" fillId="2" borderId="64" xfId="14" applyFont="1" applyFill="1" applyBorder="1" applyAlignment="1">
      <alignment horizontal="center"/>
    </xf>
    <xf numFmtId="3" fontId="75" fillId="2" borderId="46" xfId="12" applyNumberFormat="1" applyFont="1" applyFill="1" applyBorder="1" applyAlignment="1">
      <alignment horizontal="center"/>
    </xf>
    <xf numFmtId="3" fontId="76" fillId="2" borderId="46" xfId="12" applyNumberFormat="1" applyFont="1" applyFill="1" applyBorder="1" applyAlignment="1"/>
    <xf numFmtId="3" fontId="76" fillId="2" borderId="43" xfId="12" applyNumberFormat="1" applyFont="1" applyFill="1" applyBorder="1" applyAlignment="1"/>
    <xf numFmtId="3" fontId="76" fillId="2" borderId="52" xfId="12" applyNumberFormat="1" applyFont="1" applyFill="1" applyBorder="1" applyAlignment="1">
      <alignment horizontal="center"/>
    </xf>
    <xf numFmtId="0" fontId="76" fillId="2" borderId="49" xfId="12" applyFont="1" applyFill="1" applyBorder="1" applyAlignment="1">
      <alignment horizontal="center"/>
    </xf>
    <xf numFmtId="0" fontId="75" fillId="2" borderId="52" xfId="12" applyFont="1" applyFill="1" applyBorder="1" applyAlignment="1">
      <alignment horizontal="center"/>
    </xf>
    <xf numFmtId="3" fontId="75" fillId="2" borderId="52" xfId="12" applyNumberFormat="1" applyFont="1" applyFill="1" applyBorder="1" applyAlignment="1">
      <alignment horizontal="center"/>
    </xf>
    <xf numFmtId="0" fontId="76" fillId="2" borderId="58" xfId="12" applyFont="1" applyFill="1" applyBorder="1" applyAlignment="1">
      <alignment horizontal="center"/>
    </xf>
    <xf numFmtId="3" fontId="76" fillId="2" borderId="58" xfId="14" applyNumberFormat="1" applyFont="1" applyFill="1" applyBorder="1" applyAlignment="1">
      <alignment horizontal="center"/>
    </xf>
    <xf numFmtId="166" fontId="76" fillId="2" borderId="58" xfId="14" applyFont="1" applyFill="1" applyBorder="1"/>
    <xf numFmtId="166" fontId="76" fillId="2" borderId="55" xfId="14" applyFont="1" applyFill="1" applyBorder="1" applyAlignment="1">
      <alignment horizontal="center"/>
    </xf>
    <xf numFmtId="43" fontId="75" fillId="2" borderId="5" xfId="1" applyFont="1" applyFill="1" applyBorder="1"/>
    <xf numFmtId="0" fontId="81" fillId="2" borderId="0" xfId="0" applyFont="1" applyFill="1"/>
    <xf numFmtId="0" fontId="81" fillId="0" borderId="0" xfId="0" applyFont="1"/>
    <xf numFmtId="0" fontId="84" fillId="2" borderId="22" xfId="0" applyFont="1" applyFill="1" applyBorder="1"/>
    <xf numFmtId="0" fontId="85" fillId="2" borderId="23" xfId="0" applyFont="1" applyFill="1" applyBorder="1"/>
    <xf numFmtId="0" fontId="85" fillId="2" borderId="22" xfId="0" applyFont="1" applyFill="1" applyBorder="1"/>
    <xf numFmtId="166" fontId="85" fillId="2" borderId="22" xfId="0" applyNumberFormat="1" applyFont="1" applyFill="1" applyBorder="1" applyAlignment="1">
      <alignment horizontal="center"/>
    </xf>
    <xf numFmtId="0" fontId="84" fillId="2" borderId="2" xfId="0" applyFont="1" applyFill="1" applyBorder="1"/>
    <xf numFmtId="0" fontId="85" fillId="2" borderId="3" xfId="0" applyFont="1" applyFill="1" applyBorder="1"/>
    <xf numFmtId="0" fontId="85" fillId="2" borderId="2" xfId="0" applyFont="1" applyFill="1" applyBorder="1"/>
    <xf numFmtId="166" fontId="85" fillId="2" borderId="2" xfId="0" applyNumberFormat="1" applyFont="1" applyFill="1" applyBorder="1" applyAlignment="1">
      <alignment horizontal="center"/>
    </xf>
    <xf numFmtId="4" fontId="86" fillId="2" borderId="31" xfId="0" applyNumberFormat="1" applyFont="1" applyFill="1" applyBorder="1"/>
    <xf numFmtId="0" fontId="84" fillId="2" borderId="11" xfId="0" applyFont="1" applyFill="1" applyBorder="1"/>
    <xf numFmtId="0" fontId="85" fillId="2" borderId="12" xfId="0" applyFont="1" applyFill="1" applyBorder="1"/>
    <xf numFmtId="0" fontId="85" fillId="2" borderId="11" xfId="0" applyFont="1" applyFill="1" applyBorder="1"/>
    <xf numFmtId="166" fontId="85" fillId="2" borderId="11" xfId="0" applyNumberFormat="1" applyFont="1" applyFill="1" applyBorder="1" applyAlignment="1">
      <alignment horizontal="center"/>
    </xf>
    <xf numFmtId="4" fontId="88" fillId="2" borderId="21" xfId="2" applyNumberFormat="1" applyFont="1" applyFill="1" applyBorder="1" applyAlignment="1">
      <alignment horizontal="center"/>
    </xf>
    <xf numFmtId="0" fontId="81" fillId="2" borderId="0" xfId="0" applyFont="1" applyFill="1" applyAlignment="1">
      <alignment horizontal="center"/>
    </xf>
    <xf numFmtId="0" fontId="81" fillId="0" borderId="0" xfId="0" applyFont="1" applyAlignment="1">
      <alignment horizontal="center"/>
    </xf>
    <xf numFmtId="4" fontId="88" fillId="0" borderId="0" xfId="2" applyNumberFormat="1" applyFont="1" applyAlignment="1">
      <alignment horizontal="center" vertical="center"/>
    </xf>
    <xf numFmtId="4" fontId="88" fillId="0" borderId="0" xfId="2" applyNumberFormat="1" applyFont="1" applyAlignment="1">
      <alignment horizontal="center"/>
    </xf>
    <xf numFmtId="4" fontId="88" fillId="2" borderId="24" xfId="2" applyNumberFormat="1" applyFont="1" applyFill="1" applyBorder="1" applyAlignment="1">
      <alignment horizontal="center"/>
    </xf>
    <xf numFmtId="4" fontId="88" fillId="2" borderId="9" xfId="2" applyNumberFormat="1" applyFont="1" applyFill="1" applyBorder="1" applyAlignment="1">
      <alignment horizontal="center"/>
    </xf>
    <xf numFmtId="43" fontId="88" fillId="0" borderId="0" xfId="1" applyFont="1" applyAlignment="1">
      <alignment horizontal="center" vertical="center"/>
    </xf>
    <xf numFmtId="0" fontId="88" fillId="2" borderId="20" xfId="2" applyFont="1" applyFill="1" applyBorder="1" applyAlignment="1">
      <alignment horizontal="center" vertical="center"/>
    </xf>
    <xf numFmtId="0" fontId="88" fillId="2" borderId="21" xfId="2" applyFont="1" applyFill="1" applyBorder="1" applyAlignment="1">
      <alignment horizontal="left" vertical="center"/>
    </xf>
    <xf numFmtId="0" fontId="88" fillId="2" borderId="22" xfId="2" applyFont="1" applyFill="1" applyBorder="1" applyAlignment="1">
      <alignment horizontal="center" vertical="center"/>
    </xf>
    <xf numFmtId="0" fontId="88" fillId="2" borderId="23" xfId="2" applyFont="1" applyFill="1" applyBorder="1" applyAlignment="1">
      <alignment horizontal="center" vertical="center"/>
    </xf>
    <xf numFmtId="0" fontId="88" fillId="0" borderId="0" xfId="2" applyFont="1" applyAlignment="1">
      <alignment horizontal="center" vertical="center" wrapText="1"/>
    </xf>
    <xf numFmtId="0" fontId="88" fillId="0" borderId="0" xfId="2" applyFont="1" applyAlignment="1">
      <alignment horizontal="center" vertical="center"/>
    </xf>
    <xf numFmtId="0" fontId="88" fillId="2" borderId="22" xfId="2" applyFont="1" applyFill="1" applyBorder="1" applyAlignment="1">
      <alignment horizontal="left" vertical="center"/>
    </xf>
    <xf numFmtId="183" fontId="88" fillId="0" borderId="0" xfId="11" applyNumberFormat="1" applyFont="1" applyAlignment="1">
      <alignment horizontal="center" vertical="center" wrapText="1"/>
    </xf>
    <xf numFmtId="0" fontId="88" fillId="2" borderId="4" xfId="0" applyFont="1" applyFill="1" applyBorder="1" applyAlignment="1">
      <alignment horizontal="center"/>
    </xf>
    <xf numFmtId="0" fontId="81" fillId="2" borderId="2" xfId="0" applyFont="1" applyFill="1" applyBorder="1" applyAlignment="1">
      <alignment horizontal="left"/>
    </xf>
    <xf numFmtId="0" fontId="81" fillId="2" borderId="3" xfId="0" applyFont="1" applyFill="1" applyBorder="1"/>
    <xf numFmtId="3" fontId="81" fillId="0" borderId="3" xfId="1" applyNumberFormat="1" applyFont="1" applyFill="1" applyBorder="1" applyAlignment="1">
      <alignment horizontal="center"/>
    </xf>
    <xf numFmtId="167" fontId="81" fillId="0" borderId="0" xfId="1" applyNumberFormat="1" applyFont="1" applyFill="1" applyBorder="1" applyAlignment="1">
      <alignment horizontal="center"/>
    </xf>
    <xf numFmtId="43" fontId="81" fillId="0" borderId="0" xfId="1" applyFont="1" applyAlignment="1">
      <alignment horizontal="center"/>
    </xf>
    <xf numFmtId="4" fontId="81" fillId="0" borderId="0" xfId="1" applyNumberFormat="1" applyFont="1" applyFill="1" applyBorder="1" applyAlignment="1">
      <alignment horizontal="right" vertical="center"/>
    </xf>
    <xf numFmtId="43" fontId="81" fillId="0" borderId="0" xfId="1" applyFont="1" applyFill="1" applyBorder="1" applyAlignment="1">
      <alignment horizontal="right" vertical="center"/>
    </xf>
    <xf numFmtId="43" fontId="81" fillId="0" borderId="0" xfId="1" applyFont="1" applyFill="1" applyBorder="1" applyAlignment="1">
      <alignment horizontal="right"/>
    </xf>
    <xf numFmtId="3" fontId="88" fillId="0" borderId="0" xfId="1" applyNumberFormat="1" applyFont="1" applyFill="1" applyBorder="1" applyAlignment="1">
      <alignment horizontal="right" vertical="center"/>
    </xf>
    <xf numFmtId="0" fontId="88" fillId="2" borderId="39" xfId="0" applyFont="1" applyFill="1" applyBorder="1" applyAlignment="1">
      <alignment horizontal="right"/>
    </xf>
    <xf numFmtId="0" fontId="88" fillId="2" borderId="26" xfId="0" applyFont="1" applyFill="1" applyBorder="1" applyAlignment="1">
      <alignment horizontal="right"/>
    </xf>
    <xf numFmtId="3" fontId="81" fillId="0" borderId="0" xfId="1" applyNumberFormat="1" applyFont="1" applyFill="1" applyBorder="1" applyAlignment="1">
      <alignment horizontal="center" wrapText="1"/>
    </xf>
    <xf numFmtId="43" fontId="81" fillId="0" borderId="0" xfId="1" applyFont="1" applyAlignment="1">
      <alignment horizontal="center" wrapText="1"/>
    </xf>
    <xf numFmtId="43" fontId="81" fillId="0" borderId="0" xfId="1" applyFont="1" applyFill="1" applyBorder="1" applyAlignment="1">
      <alignment wrapText="1"/>
    </xf>
    <xf numFmtId="43" fontId="81" fillId="0" borderId="0" xfId="1" applyFont="1" applyFill="1" applyBorder="1" applyAlignment="1">
      <alignment horizontal="center" vertical="center" wrapText="1"/>
    </xf>
    <xf numFmtId="4" fontId="81" fillId="0" borderId="0" xfId="1" applyNumberFormat="1" applyFont="1" applyFill="1" applyBorder="1" applyAlignment="1">
      <alignment horizontal="center" vertical="center" wrapText="1"/>
    </xf>
    <xf numFmtId="41" fontId="88" fillId="0" borderId="0" xfId="1" applyNumberFormat="1" applyFont="1" applyFill="1" applyBorder="1" applyAlignment="1">
      <alignment vertical="center" wrapText="1"/>
    </xf>
    <xf numFmtId="4" fontId="88" fillId="2" borderId="8" xfId="1" applyNumberFormat="1" applyFont="1" applyFill="1" applyBorder="1" applyAlignment="1">
      <alignment vertical="center"/>
    </xf>
    <xf numFmtId="43" fontId="81" fillId="0" borderId="0" xfId="1" applyFont="1"/>
    <xf numFmtId="4" fontId="81" fillId="2" borderId="0" xfId="0" applyNumberFormat="1" applyFont="1" applyFill="1"/>
    <xf numFmtId="0" fontId="84" fillId="2" borderId="27" xfId="0" applyFont="1" applyFill="1" applyBorder="1"/>
    <xf numFmtId="0" fontId="84" fillId="2" borderId="22" xfId="0" applyFont="1" applyFill="1" applyBorder="1" applyAlignment="1">
      <alignment wrapText="1"/>
    </xf>
    <xf numFmtId="43" fontId="85" fillId="2" borderId="22" xfId="1" applyFont="1" applyFill="1" applyBorder="1"/>
    <xf numFmtId="43" fontId="86" fillId="2" borderId="5" xfId="1" applyFont="1" applyFill="1" applyBorder="1"/>
    <xf numFmtId="0" fontId="86" fillId="2" borderId="1" xfId="0" applyFont="1" applyFill="1" applyBorder="1"/>
    <xf numFmtId="0" fontId="86" fillId="2" borderId="2" xfId="0" applyFont="1" applyFill="1" applyBorder="1"/>
    <xf numFmtId="0" fontId="84" fillId="2" borderId="7" xfId="0" applyFont="1" applyFill="1" applyBorder="1"/>
    <xf numFmtId="0" fontId="84" fillId="2" borderId="2" xfId="0" applyFont="1" applyFill="1" applyBorder="1" applyAlignment="1">
      <alignment wrapText="1"/>
    </xf>
    <xf numFmtId="43" fontId="85" fillId="2" borderId="2" xfId="1" applyFont="1" applyFill="1" applyBorder="1"/>
    <xf numFmtId="0" fontId="84" fillId="2" borderId="10" xfId="0" applyFont="1" applyFill="1" applyBorder="1"/>
    <xf numFmtId="0" fontId="84" fillId="2" borderId="11" xfId="0" applyFont="1" applyFill="1" applyBorder="1" applyAlignment="1">
      <alignment wrapText="1"/>
    </xf>
    <xf numFmtId="43" fontId="85" fillId="2" borderId="11" xfId="1" applyFont="1" applyFill="1" applyBorder="1"/>
    <xf numFmtId="43" fontId="86" fillId="2" borderId="32" xfId="1" applyFont="1" applyFill="1" applyBorder="1"/>
    <xf numFmtId="0" fontId="86" fillId="2" borderId="33" xfId="0" applyFont="1" applyFill="1" applyBorder="1"/>
    <xf numFmtId="0" fontId="86" fillId="2" borderId="36" xfId="0" applyFont="1" applyFill="1" applyBorder="1"/>
    <xf numFmtId="4" fontId="86" fillId="2" borderId="34" xfId="0" applyNumberFormat="1" applyFont="1" applyFill="1" applyBorder="1"/>
    <xf numFmtId="4" fontId="88" fillId="2" borderId="0" xfId="2" applyNumberFormat="1" applyFont="1" applyFill="1" applyAlignment="1">
      <alignment horizontal="center"/>
    </xf>
    <xf numFmtId="4" fontId="75" fillId="2" borderId="19" xfId="2" applyNumberFormat="1" applyFont="1" applyFill="1" applyBorder="1" applyAlignment="1">
      <alignment horizontal="center"/>
    </xf>
    <xf numFmtId="43" fontId="75" fillId="2" borderId="18" xfId="1" applyFont="1" applyFill="1" applyBorder="1" applyAlignment="1">
      <alignment horizontal="center"/>
    </xf>
    <xf numFmtId="4" fontId="88" fillId="2" borderId="0" xfId="2" applyNumberFormat="1" applyFont="1" applyFill="1" applyAlignment="1">
      <alignment horizontal="center" vertical="center"/>
    </xf>
    <xf numFmtId="4" fontId="75" fillId="2" borderId="17" xfId="2" applyNumberFormat="1" applyFont="1" applyFill="1" applyBorder="1" applyAlignment="1">
      <alignment horizontal="center"/>
    </xf>
    <xf numFmtId="43" fontId="75" fillId="2" borderId="15" xfId="1" applyFont="1" applyFill="1" applyBorder="1" applyAlignment="1">
      <alignment horizontal="center"/>
    </xf>
    <xf numFmtId="4" fontId="75" fillId="2" borderId="9" xfId="2" applyNumberFormat="1" applyFont="1" applyFill="1" applyBorder="1" applyAlignment="1">
      <alignment horizontal="center"/>
    </xf>
    <xf numFmtId="0" fontId="75" fillId="5" borderId="42" xfId="0" applyFont="1" applyFill="1" applyBorder="1" applyAlignment="1">
      <alignment horizontal="center"/>
    </xf>
    <xf numFmtId="0" fontId="75" fillId="5" borderId="43" xfId="0" applyFont="1" applyFill="1" applyBorder="1" applyAlignment="1">
      <alignment horizontal="left"/>
    </xf>
    <xf numFmtId="0" fontId="76" fillId="5" borderId="44" xfId="0" applyFont="1" applyFill="1" applyBorder="1" applyAlignment="1">
      <alignment horizontal="center"/>
    </xf>
    <xf numFmtId="0" fontId="75" fillId="5" borderId="45" xfId="0" applyFont="1" applyFill="1" applyBorder="1"/>
    <xf numFmtId="43" fontId="76" fillId="5" borderId="45" xfId="1" applyFont="1" applyFill="1" applyBorder="1" applyAlignment="1">
      <alignment horizontal="center"/>
    </xf>
    <xf numFmtId="43" fontId="75" fillId="5" borderId="46" xfId="1" applyFont="1" applyFill="1" applyBorder="1" applyAlignment="1">
      <alignment horizontal="right"/>
    </xf>
    <xf numFmtId="4" fontId="75" fillId="5" borderId="47" xfId="1" applyNumberFormat="1" applyFont="1" applyFill="1" applyBorder="1" applyAlignment="1">
      <alignment horizontal="right"/>
    </xf>
    <xf numFmtId="43" fontId="81" fillId="0" borderId="0" xfId="1" applyFont="1" applyFill="1" applyBorder="1" applyAlignment="1">
      <alignment horizontal="center"/>
    </xf>
    <xf numFmtId="0" fontId="88" fillId="2" borderId="48" xfId="0" applyFont="1" applyFill="1" applyBorder="1" applyAlignment="1">
      <alignment horizontal="center"/>
    </xf>
    <xf numFmtId="0" fontId="81" fillId="2" borderId="49" xfId="0" applyFont="1" applyFill="1" applyBorder="1" applyAlignment="1">
      <alignment horizontal="center"/>
    </xf>
    <xf numFmtId="0" fontId="81" fillId="2" borderId="50" xfId="0" applyFont="1" applyFill="1" applyBorder="1" applyAlignment="1">
      <alignment horizontal="center"/>
    </xf>
    <xf numFmtId="0" fontId="81" fillId="2" borderId="51" xfId="0" applyFont="1" applyFill="1" applyBorder="1"/>
    <xf numFmtId="43" fontId="81" fillId="2" borderId="51" xfId="1" applyFont="1" applyFill="1" applyBorder="1" applyAlignment="1">
      <alignment horizontal="center"/>
    </xf>
    <xf numFmtId="43" fontId="81" fillId="2" borderId="52" xfId="1" applyFont="1" applyFill="1" applyBorder="1" applyAlignment="1">
      <alignment horizontal="center"/>
    </xf>
    <xf numFmtId="43" fontId="81" fillId="2" borderId="52" xfId="1" applyFont="1" applyFill="1" applyBorder="1" applyAlignment="1">
      <alignment horizontal="right"/>
    </xf>
    <xf numFmtId="43" fontId="81" fillId="2" borderId="52" xfId="1" applyFont="1" applyFill="1" applyBorder="1" applyAlignment="1">
      <alignment horizontal="right" vertical="center"/>
    </xf>
    <xf numFmtId="43" fontId="88" fillId="2" borderId="53" xfId="1" applyFont="1" applyFill="1" applyBorder="1" applyAlignment="1">
      <alignment horizontal="right" vertical="center"/>
    </xf>
    <xf numFmtId="0" fontId="88" fillId="2" borderId="85" xfId="0" applyFont="1" applyFill="1" applyBorder="1" applyAlignment="1">
      <alignment horizontal="center"/>
    </xf>
    <xf numFmtId="0" fontId="88" fillId="2" borderId="66" xfId="2" applyFont="1" applyFill="1" applyBorder="1" applyAlignment="1">
      <alignment horizontal="center" vertical="center"/>
    </xf>
    <xf numFmtId="0" fontId="88" fillId="2" borderId="64" xfId="2" applyFont="1" applyFill="1" applyBorder="1" applyAlignment="1">
      <alignment horizontal="center" vertical="center"/>
    </xf>
    <xf numFmtId="0" fontId="88" fillId="2" borderId="67" xfId="2" applyFont="1" applyFill="1" applyBorder="1" applyAlignment="1">
      <alignment horizontal="center" vertical="center"/>
    </xf>
    <xf numFmtId="0" fontId="88" fillId="2" borderId="68" xfId="2" applyFont="1" applyFill="1" applyBorder="1" applyAlignment="1">
      <alignment horizontal="center" vertical="center"/>
    </xf>
    <xf numFmtId="43" fontId="88" fillId="2" borderId="68" xfId="1" applyFont="1" applyFill="1" applyBorder="1" applyAlignment="1">
      <alignment horizontal="center" vertical="center" wrapText="1"/>
    </xf>
    <xf numFmtId="0" fontId="88" fillId="2" borderId="63" xfId="2" applyFont="1" applyFill="1" applyBorder="1" applyAlignment="1">
      <alignment horizontal="center" vertical="center"/>
    </xf>
    <xf numFmtId="4" fontId="88" fillId="2" borderId="68" xfId="2" applyNumberFormat="1" applyFont="1" applyFill="1" applyBorder="1" applyAlignment="1">
      <alignment horizontal="center"/>
    </xf>
    <xf numFmtId="43" fontId="88" fillId="2" borderId="63" xfId="1" applyFont="1" applyFill="1" applyBorder="1" applyAlignment="1">
      <alignment horizontal="center"/>
    </xf>
    <xf numFmtId="4" fontId="88" fillId="2" borderId="64" xfId="2" applyNumberFormat="1" applyFont="1" applyFill="1" applyBorder="1" applyAlignment="1">
      <alignment horizontal="center" vertical="center"/>
    </xf>
    <xf numFmtId="4" fontId="88" fillId="2" borderId="69" xfId="2" applyNumberFormat="1" applyFont="1" applyFill="1" applyBorder="1" applyAlignment="1">
      <alignment horizontal="center"/>
    </xf>
    <xf numFmtId="0" fontId="88" fillId="2" borderId="0" xfId="2" applyFont="1" applyFill="1" applyAlignment="1">
      <alignment horizontal="center" vertical="center" wrapText="1"/>
    </xf>
    <xf numFmtId="0" fontId="88" fillId="2" borderId="0" xfId="2" applyFont="1" applyFill="1" applyAlignment="1">
      <alignment horizontal="center" vertical="center"/>
    </xf>
    <xf numFmtId="0" fontId="75" fillId="5" borderId="4" xfId="0" applyFont="1" applyFill="1" applyBorder="1" applyAlignment="1">
      <alignment horizontal="center"/>
    </xf>
    <xf numFmtId="0" fontId="75" fillId="5" borderId="1" xfId="0" applyFont="1" applyFill="1" applyBorder="1" applyAlignment="1">
      <alignment horizontal="left"/>
    </xf>
    <xf numFmtId="0" fontId="75" fillId="5" borderId="2" xfId="0" applyFont="1" applyFill="1" applyBorder="1" applyAlignment="1">
      <alignment horizontal="center"/>
    </xf>
    <xf numFmtId="0" fontId="75" fillId="5" borderId="3" xfId="0" applyFont="1" applyFill="1" applyBorder="1" applyAlignment="1">
      <alignment wrapText="1"/>
    </xf>
    <xf numFmtId="43" fontId="75" fillId="5" borderId="3" xfId="1" applyFont="1" applyFill="1" applyBorder="1" applyAlignment="1">
      <alignment horizontal="center"/>
    </xf>
    <xf numFmtId="0" fontId="75" fillId="5" borderId="5" xfId="0" applyFont="1" applyFill="1" applyBorder="1" applyAlignment="1">
      <alignment horizontal="center"/>
    </xf>
    <xf numFmtId="43" fontId="75" fillId="5" borderId="5" xfId="1" applyFont="1" applyFill="1" applyBorder="1" applyAlignment="1">
      <alignment horizontal="right"/>
    </xf>
    <xf numFmtId="43" fontId="75" fillId="5" borderId="1" xfId="1" applyFont="1" applyFill="1" applyBorder="1" applyAlignment="1">
      <alignment horizontal="right"/>
    </xf>
    <xf numFmtId="4" fontId="75" fillId="5" borderId="6" xfId="1" applyNumberFormat="1" applyFont="1" applyFill="1" applyBorder="1" applyAlignment="1">
      <alignment horizontal="right"/>
    </xf>
    <xf numFmtId="43" fontId="81" fillId="2" borderId="0" xfId="1" applyFont="1" applyFill="1" applyBorder="1" applyAlignment="1">
      <alignment horizontal="center"/>
    </xf>
    <xf numFmtId="43" fontId="81" fillId="2" borderId="0" xfId="1" applyFont="1" applyFill="1" applyBorder="1" applyAlignment="1">
      <alignment horizontal="right"/>
    </xf>
    <xf numFmtId="43" fontId="81" fillId="2" borderId="5" xfId="1" applyFont="1" applyFill="1" applyBorder="1" applyAlignment="1">
      <alignment horizontal="right"/>
    </xf>
    <xf numFmtId="43" fontId="81" fillId="2" borderId="0" xfId="0" applyNumberFormat="1" applyFont="1" applyFill="1"/>
    <xf numFmtId="0" fontId="88" fillId="2" borderId="42" xfId="0" applyFont="1" applyFill="1" applyBorder="1" applyAlignment="1">
      <alignment horizontal="center"/>
    </xf>
    <xf numFmtId="0" fontId="88" fillId="2" borderId="43" xfId="0" applyFont="1" applyFill="1" applyBorder="1" applyAlignment="1">
      <alignment horizontal="center"/>
    </xf>
    <xf numFmtId="0" fontId="88" fillId="2" borderId="44" xfId="0" applyFont="1" applyFill="1" applyBorder="1" applyAlignment="1">
      <alignment horizontal="center"/>
    </xf>
    <xf numFmtId="0" fontId="88" fillId="2" borderId="45" xfId="0" applyFont="1" applyFill="1" applyBorder="1" applyAlignment="1">
      <alignment wrapText="1"/>
    </xf>
    <xf numFmtId="43" fontId="81" fillId="2" borderId="46" xfId="1" applyFont="1" applyFill="1" applyBorder="1" applyAlignment="1">
      <alignment horizontal="center"/>
    </xf>
    <xf numFmtId="0" fontId="81" fillId="2" borderId="46" xfId="0" applyFont="1" applyFill="1" applyBorder="1" applyAlignment="1">
      <alignment horizontal="center"/>
    </xf>
    <xf numFmtId="43" fontId="81" fillId="2" borderId="46" xfId="1" applyFont="1" applyFill="1" applyBorder="1" applyAlignment="1">
      <alignment horizontal="right" vertical="center"/>
    </xf>
    <xf numFmtId="43" fontId="81" fillId="2" borderId="46" xfId="1" applyFont="1" applyFill="1" applyBorder="1" applyAlignment="1">
      <alignment horizontal="right"/>
    </xf>
    <xf numFmtId="43" fontId="81" fillId="2" borderId="43" xfId="1" applyFont="1" applyFill="1" applyBorder="1" applyAlignment="1">
      <alignment horizontal="right"/>
    </xf>
    <xf numFmtId="4" fontId="88" fillId="2" borderId="47" xfId="1" applyNumberFormat="1" applyFont="1" applyFill="1" applyBorder="1" applyAlignment="1">
      <alignment horizontal="right" vertical="center"/>
    </xf>
    <xf numFmtId="167" fontId="81" fillId="2" borderId="0" xfId="1" applyNumberFormat="1" applyFont="1" applyFill="1" applyBorder="1" applyAlignment="1">
      <alignment horizontal="center"/>
    </xf>
    <xf numFmtId="4" fontId="81" fillId="2" borderId="0" xfId="1" applyNumberFormat="1" applyFont="1" applyFill="1" applyBorder="1" applyAlignment="1">
      <alignment horizontal="right" vertical="center"/>
    </xf>
    <xf numFmtId="43" fontId="81" fillId="2" borderId="0" xfId="1" applyFont="1" applyFill="1" applyBorder="1" applyAlignment="1">
      <alignment horizontal="right" vertical="center"/>
    </xf>
    <xf numFmtId="3" fontId="88" fillId="2" borderId="0" xfId="1" applyNumberFormat="1" applyFont="1" applyFill="1" applyBorder="1" applyAlignment="1">
      <alignment horizontal="right" vertical="center"/>
    </xf>
    <xf numFmtId="0" fontId="81" fillId="2" borderId="51" xfId="0" applyFont="1" applyFill="1" applyBorder="1" applyAlignment="1">
      <alignment wrapText="1"/>
    </xf>
    <xf numFmtId="0" fontId="81" fillId="2" borderId="52" xfId="0" applyFont="1" applyFill="1" applyBorder="1" applyAlignment="1">
      <alignment horizontal="center"/>
    </xf>
    <xf numFmtId="43" fontId="81" fillId="2" borderId="49" xfId="1" applyFont="1" applyFill="1" applyBorder="1" applyAlignment="1">
      <alignment horizontal="right"/>
    </xf>
    <xf numFmtId="4" fontId="81" fillId="2" borderId="53" xfId="1" applyNumberFormat="1" applyFont="1" applyFill="1" applyBorder="1" applyAlignment="1">
      <alignment horizontal="right" vertical="center"/>
    </xf>
    <xf numFmtId="3" fontId="81" fillId="2" borderId="0" xfId="0" applyNumberFormat="1" applyFont="1" applyFill="1"/>
    <xf numFmtId="0" fontId="88" fillId="2" borderId="49" xfId="0" applyFont="1" applyFill="1" applyBorder="1" applyAlignment="1">
      <alignment horizontal="center"/>
    </xf>
    <xf numFmtId="0" fontId="88" fillId="2" borderId="50" xfId="0" applyFont="1" applyFill="1" applyBorder="1" applyAlignment="1">
      <alignment horizontal="center"/>
    </xf>
    <xf numFmtId="0" fontId="88" fillId="2" borderId="51" xfId="0" applyFont="1" applyFill="1" applyBorder="1" applyAlignment="1">
      <alignment wrapText="1"/>
    </xf>
    <xf numFmtId="0" fontId="81" fillId="2" borderId="52" xfId="0" applyFont="1" applyFill="1" applyBorder="1" applyAlignment="1">
      <alignment horizontal="left" vertical="top"/>
    </xf>
    <xf numFmtId="0" fontId="81" fillId="2" borderId="0" xfId="0" applyFont="1" applyFill="1" applyAlignment="1">
      <alignment horizontal="left" vertical="top"/>
    </xf>
    <xf numFmtId="0" fontId="81" fillId="2" borderId="52" xfId="0" applyFont="1" applyFill="1" applyBorder="1" applyAlignment="1">
      <alignment horizontal="center" vertical="top"/>
    </xf>
    <xf numFmtId="0" fontId="81" fillId="2" borderId="0" xfId="0" applyFont="1" applyFill="1" applyAlignment="1">
      <alignment horizontal="center" vertical="top"/>
    </xf>
    <xf numFmtId="0" fontId="81" fillId="2" borderId="50" xfId="0" applyFont="1" applyFill="1" applyBorder="1" applyAlignment="1">
      <alignment horizontal="left" wrapText="1"/>
    </xf>
    <xf numFmtId="0" fontId="88" fillId="2" borderId="48" xfId="0" applyFont="1" applyFill="1" applyBorder="1" applyAlignment="1">
      <alignment horizontal="center" vertical="top"/>
    </xf>
    <xf numFmtId="0" fontId="81" fillId="2" borderId="49" xfId="0" applyFont="1" applyFill="1" applyBorder="1" applyAlignment="1">
      <alignment horizontal="center" vertical="top"/>
    </xf>
    <xf numFmtId="0" fontId="81" fillId="2" borderId="50" xfId="0" applyFont="1" applyFill="1" applyBorder="1" applyAlignment="1">
      <alignment horizontal="center" vertical="top"/>
    </xf>
    <xf numFmtId="0" fontId="81" fillId="2" borderId="50" xfId="0" applyFont="1" applyFill="1" applyBorder="1" applyAlignment="1">
      <alignment horizontal="left" vertical="top" wrapText="1"/>
    </xf>
    <xf numFmtId="43" fontId="81" fillId="2" borderId="52" xfId="1" applyFont="1" applyFill="1" applyBorder="1" applyAlignment="1">
      <alignment horizontal="center" vertical="top"/>
    </xf>
    <xf numFmtId="43" fontId="81" fillId="2" borderId="52" xfId="1" applyFont="1" applyFill="1" applyBorder="1" applyAlignment="1">
      <alignment horizontal="right" vertical="top"/>
    </xf>
    <xf numFmtId="43" fontId="81" fillId="2" borderId="49" xfId="1" applyFont="1" applyFill="1" applyBorder="1" applyAlignment="1">
      <alignment horizontal="right" vertical="top"/>
    </xf>
    <xf numFmtId="4" fontId="81" fillId="2" borderId="53" xfId="1" applyNumberFormat="1" applyFont="1" applyFill="1" applyBorder="1" applyAlignment="1">
      <alignment horizontal="right" vertical="top"/>
    </xf>
    <xf numFmtId="43" fontId="81" fillId="2" borderId="0" xfId="0" applyNumberFormat="1" applyFont="1" applyFill="1" applyAlignment="1">
      <alignment vertical="top"/>
    </xf>
    <xf numFmtId="167" fontId="81" fillId="2" borderId="0" xfId="1" applyNumberFormat="1" applyFont="1" applyFill="1" applyBorder="1" applyAlignment="1">
      <alignment horizontal="center" vertical="top"/>
    </xf>
    <xf numFmtId="4" fontId="81" fillId="2" borderId="0" xfId="1" applyNumberFormat="1" applyFont="1" applyFill="1" applyBorder="1" applyAlignment="1">
      <alignment horizontal="right" vertical="top"/>
    </xf>
    <xf numFmtId="43" fontId="81" fillId="2" borderId="0" xfId="1" applyFont="1" applyFill="1" applyBorder="1" applyAlignment="1">
      <alignment horizontal="right" vertical="top"/>
    </xf>
    <xf numFmtId="3" fontId="88" fillId="2" borderId="0" xfId="1" applyNumberFormat="1" applyFont="1" applyFill="1" applyBorder="1" applyAlignment="1">
      <alignment horizontal="right" vertical="top"/>
    </xf>
    <xf numFmtId="0" fontId="81" fillId="2" borderId="0" xfId="0" applyFont="1" applyFill="1" applyAlignment="1">
      <alignment vertical="top"/>
    </xf>
    <xf numFmtId="0" fontId="88" fillId="2" borderId="66" xfId="0" applyFont="1" applyFill="1" applyBorder="1" applyAlignment="1">
      <alignment horizontal="center"/>
    </xf>
    <xf numFmtId="0" fontId="81" fillId="2" borderId="64" xfId="0" applyFont="1" applyFill="1" applyBorder="1" applyAlignment="1">
      <alignment horizontal="center"/>
    </xf>
    <xf numFmtId="0" fontId="81" fillId="2" borderId="67" xfId="0" applyFont="1" applyFill="1" applyBorder="1" applyAlignment="1">
      <alignment horizontal="center"/>
    </xf>
    <xf numFmtId="0" fontId="81" fillId="2" borderId="68" xfId="0" applyFont="1" applyFill="1" applyBorder="1" applyAlignment="1">
      <alignment wrapText="1"/>
    </xf>
    <xf numFmtId="43" fontId="81" fillId="2" borderId="63" xfId="1" applyFont="1" applyFill="1" applyBorder="1" applyAlignment="1">
      <alignment horizontal="center"/>
    </xf>
    <xf numFmtId="0" fontId="81" fillId="2" borderId="63" xfId="0" applyFont="1" applyFill="1" applyBorder="1" applyAlignment="1">
      <alignment horizontal="center"/>
    </xf>
    <xf numFmtId="43" fontId="81" fillId="2" borderId="63" xfId="1" applyFont="1" applyFill="1" applyBorder="1" applyAlignment="1">
      <alignment horizontal="right" vertical="center"/>
    </xf>
    <xf numFmtId="43" fontId="81" fillId="2" borderId="63" xfId="1" applyFont="1" applyFill="1" applyBorder="1" applyAlignment="1">
      <alignment horizontal="right"/>
    </xf>
    <xf numFmtId="43" fontId="81" fillId="2" borderId="64" xfId="1" applyFont="1" applyFill="1" applyBorder="1" applyAlignment="1">
      <alignment horizontal="right"/>
    </xf>
    <xf numFmtId="4" fontId="81" fillId="2" borderId="69" xfId="1" applyNumberFormat="1" applyFont="1" applyFill="1" applyBorder="1" applyAlignment="1">
      <alignment horizontal="right" vertical="center"/>
    </xf>
    <xf numFmtId="0" fontId="76" fillId="5" borderId="2" xfId="0" applyFont="1" applyFill="1" applyBorder="1" applyAlignment="1">
      <alignment horizontal="center"/>
    </xf>
    <xf numFmtId="43" fontId="76" fillId="5" borderId="5" xfId="1" applyFont="1" applyFill="1" applyBorder="1" applyAlignment="1">
      <alignment horizontal="center"/>
    </xf>
    <xf numFmtId="0" fontId="76" fillId="5" borderId="5" xfId="0" applyFont="1" applyFill="1" applyBorder="1" applyAlignment="1">
      <alignment horizontal="center"/>
    </xf>
    <xf numFmtId="43" fontId="76" fillId="5" borderId="5" xfId="1" applyFont="1" applyFill="1" applyBorder="1" applyAlignment="1">
      <alignment horizontal="right" vertical="center"/>
    </xf>
    <xf numFmtId="43" fontId="75" fillId="5" borderId="5" xfId="1" applyFont="1" applyFill="1" applyBorder="1" applyAlignment="1">
      <alignment horizontal="right" vertical="center"/>
    </xf>
    <xf numFmtId="43" fontId="76" fillId="5" borderId="1" xfId="1" applyFont="1" applyFill="1" applyBorder="1" applyAlignment="1">
      <alignment horizontal="right"/>
    </xf>
    <xf numFmtId="4" fontId="75" fillId="5" borderId="6" xfId="1" applyNumberFormat="1" applyFont="1" applyFill="1" applyBorder="1" applyAlignment="1">
      <alignment horizontal="right" vertical="center"/>
    </xf>
    <xf numFmtId="0" fontId="88" fillId="2" borderId="70" xfId="0" applyFont="1" applyFill="1" applyBorder="1" applyAlignment="1">
      <alignment horizontal="center"/>
    </xf>
    <xf numFmtId="0" fontId="88" fillId="2" borderId="62" xfId="0" applyFont="1" applyFill="1" applyBorder="1" applyAlignment="1">
      <alignment horizontal="center"/>
    </xf>
    <xf numFmtId="0" fontId="88" fillId="2" borderId="71" xfId="0" applyFont="1" applyFill="1" applyBorder="1" applyAlignment="1">
      <alignment horizontal="left"/>
    </xf>
    <xf numFmtId="0" fontId="88" fillId="2" borderId="72" xfId="0" applyFont="1" applyFill="1" applyBorder="1" applyAlignment="1">
      <alignment wrapText="1"/>
    </xf>
    <xf numFmtId="43" fontId="81" fillId="2" borderId="61" xfId="1" applyFont="1" applyFill="1" applyBorder="1" applyAlignment="1">
      <alignment horizontal="center"/>
    </xf>
    <xf numFmtId="0" fontId="81" fillId="2" borderId="61" xfId="0" applyFont="1" applyFill="1" applyBorder="1" applyAlignment="1">
      <alignment horizontal="center"/>
    </xf>
    <xf numFmtId="43" fontId="81" fillId="2" borderId="61" xfId="1" applyFont="1" applyFill="1" applyBorder="1" applyAlignment="1">
      <alignment horizontal="right" vertical="center"/>
    </xf>
    <xf numFmtId="43" fontId="81" fillId="2" borderId="61" xfId="1" applyFont="1" applyFill="1" applyBorder="1" applyAlignment="1">
      <alignment horizontal="right"/>
    </xf>
    <xf numFmtId="43" fontId="81" fillId="2" borderId="62" xfId="1" applyFont="1" applyFill="1" applyBorder="1" applyAlignment="1">
      <alignment horizontal="right"/>
    </xf>
    <xf numFmtId="4" fontId="81" fillId="2" borderId="73" xfId="1" applyNumberFormat="1" applyFont="1" applyFill="1" applyBorder="1" applyAlignment="1">
      <alignment horizontal="right" vertical="center"/>
    </xf>
    <xf numFmtId="43" fontId="81" fillId="2" borderId="53" xfId="1" applyFont="1" applyFill="1" applyBorder="1" applyAlignment="1">
      <alignment horizontal="right" vertical="center"/>
    </xf>
    <xf numFmtId="0" fontId="88" fillId="2" borderId="50" xfId="0" applyFont="1" applyFill="1" applyBorder="1" applyAlignment="1">
      <alignment horizontal="left"/>
    </xf>
    <xf numFmtId="43" fontId="81" fillId="2" borderId="68" xfId="1" applyFont="1" applyFill="1" applyBorder="1" applyAlignment="1">
      <alignment horizontal="center"/>
    </xf>
    <xf numFmtId="43" fontId="81" fillId="2" borderId="69" xfId="1" applyFont="1" applyFill="1" applyBorder="1" applyAlignment="1">
      <alignment horizontal="right" vertical="center"/>
    </xf>
    <xf numFmtId="43" fontId="76" fillId="5" borderId="3" xfId="1" applyFont="1" applyFill="1" applyBorder="1" applyAlignment="1">
      <alignment horizontal="center"/>
    </xf>
    <xf numFmtId="43" fontId="75" fillId="5" borderId="6" xfId="1" applyFont="1" applyFill="1" applyBorder="1" applyAlignment="1">
      <alignment horizontal="right" vertical="center"/>
    </xf>
    <xf numFmtId="0" fontId="88" fillId="2" borderId="71" xfId="0" applyFont="1" applyFill="1" applyBorder="1" applyAlignment="1">
      <alignment horizontal="center"/>
    </xf>
    <xf numFmtId="0" fontId="81" fillId="2" borderId="72" xfId="0" applyFont="1" applyFill="1" applyBorder="1" applyAlignment="1">
      <alignment wrapText="1"/>
    </xf>
    <xf numFmtId="43" fontId="81" fillId="2" borderId="72" xfId="1" applyFont="1" applyFill="1" applyBorder="1" applyAlignment="1">
      <alignment horizontal="center"/>
    </xf>
    <xf numFmtId="43" fontId="81" fillId="2" borderId="73" xfId="1" applyFont="1" applyFill="1" applyBorder="1" applyAlignment="1">
      <alignment horizontal="right" vertical="center"/>
    </xf>
    <xf numFmtId="4" fontId="88" fillId="2" borderId="53" xfId="1" applyNumberFormat="1" applyFont="1" applyFill="1" applyBorder="1" applyAlignment="1">
      <alignment horizontal="right" vertical="center"/>
    </xf>
    <xf numFmtId="4" fontId="88" fillId="2" borderId="69" xfId="1" applyNumberFormat="1" applyFont="1" applyFill="1" applyBorder="1" applyAlignment="1">
      <alignment horizontal="right" vertical="center"/>
    </xf>
    <xf numFmtId="0" fontId="76" fillId="5" borderId="3" xfId="0" applyFont="1" applyFill="1" applyBorder="1" applyAlignment="1">
      <alignment wrapText="1"/>
    </xf>
    <xf numFmtId="4" fontId="88" fillId="2" borderId="73" xfId="1" applyNumberFormat="1" applyFont="1" applyFill="1" applyBorder="1" applyAlignment="1">
      <alignment horizontal="right" vertical="center"/>
    </xf>
    <xf numFmtId="0" fontId="88" fillId="2" borderId="54" xfId="0" applyFont="1" applyFill="1" applyBorder="1" applyAlignment="1">
      <alignment horizontal="center"/>
    </xf>
    <xf numFmtId="0" fontId="81" fillId="2" borderId="55" xfId="0" applyFont="1" applyFill="1" applyBorder="1" applyAlignment="1">
      <alignment horizontal="center"/>
    </xf>
    <xf numFmtId="0" fontId="81" fillId="2" borderId="56" xfId="0" applyFont="1" applyFill="1" applyBorder="1" applyAlignment="1">
      <alignment horizontal="center"/>
    </xf>
    <xf numFmtId="0" fontId="81" fillId="2" borderId="57" xfId="0" applyFont="1" applyFill="1" applyBorder="1" applyAlignment="1">
      <alignment wrapText="1"/>
    </xf>
    <xf numFmtId="43" fontId="81" fillId="2" borderId="57" xfId="1" applyFont="1" applyFill="1" applyBorder="1" applyAlignment="1">
      <alignment horizontal="center"/>
    </xf>
    <xf numFmtId="0" fontId="81" fillId="2" borderId="58" xfId="0" applyFont="1" applyFill="1" applyBorder="1" applyAlignment="1">
      <alignment horizontal="center"/>
    </xf>
    <xf numFmtId="43" fontId="81" fillId="2" borderId="58" xfId="1" applyFont="1" applyFill="1" applyBorder="1" applyAlignment="1">
      <alignment horizontal="right"/>
    </xf>
    <xf numFmtId="43" fontId="81" fillId="2" borderId="58" xfId="1" applyFont="1" applyFill="1" applyBorder="1" applyAlignment="1">
      <alignment horizontal="right" vertical="center"/>
    </xf>
    <xf numFmtId="43" fontId="81" fillId="2" borderId="55" xfId="1" applyFont="1" applyFill="1" applyBorder="1" applyAlignment="1">
      <alignment horizontal="right"/>
    </xf>
    <xf numFmtId="4" fontId="88" fillId="2" borderId="59" xfId="1" applyNumberFormat="1" applyFont="1" applyFill="1" applyBorder="1" applyAlignment="1">
      <alignment horizontal="right" vertical="center"/>
    </xf>
    <xf numFmtId="3" fontId="81" fillId="2" borderId="0" xfId="1" applyNumberFormat="1" applyFont="1" applyFill="1" applyBorder="1" applyAlignment="1">
      <alignment horizontal="center"/>
    </xf>
    <xf numFmtId="3" fontId="81" fillId="2" borderId="0" xfId="1" applyNumberFormat="1" applyFont="1" applyFill="1" applyBorder="1" applyAlignment="1">
      <alignment horizontal="center" wrapText="1"/>
    </xf>
    <xf numFmtId="0" fontId="81" fillId="2" borderId="0" xfId="0" applyFont="1" applyFill="1" applyAlignment="1">
      <alignment horizontal="center" wrapText="1"/>
    </xf>
    <xf numFmtId="43" fontId="81" fillId="2" borderId="0" xfId="1" applyFont="1" applyFill="1" applyBorder="1" applyAlignment="1">
      <alignment wrapText="1"/>
    </xf>
    <xf numFmtId="43" fontId="81" fillId="2" borderId="0" xfId="1" applyFont="1" applyFill="1" applyBorder="1" applyAlignment="1">
      <alignment horizontal="center" vertical="center" wrapText="1"/>
    </xf>
    <xf numFmtId="41" fontId="88" fillId="2" borderId="0" xfId="1" applyNumberFormat="1" applyFont="1" applyFill="1" applyBorder="1" applyAlignment="1">
      <alignment vertical="center" wrapText="1"/>
    </xf>
    <xf numFmtId="0" fontId="81" fillId="2" borderId="0" xfId="0" applyFont="1" applyFill="1" applyAlignment="1">
      <alignment wrapText="1"/>
    </xf>
    <xf numFmtId="43" fontId="81" fillId="2" borderId="0" xfId="1" applyFont="1" applyFill="1"/>
    <xf numFmtId="0" fontId="76" fillId="2" borderId="0" xfId="12" applyFont="1" applyFill="1" applyAlignment="1">
      <alignment wrapText="1"/>
    </xf>
    <xf numFmtId="0" fontId="75" fillId="2" borderId="0" xfId="12" applyFont="1" applyFill="1" applyAlignment="1">
      <alignment wrapText="1"/>
    </xf>
    <xf numFmtId="0" fontId="75" fillId="2" borderId="46" xfId="12" applyFont="1" applyFill="1" applyBorder="1" applyAlignment="1">
      <alignment horizontal="left" vertical="center" wrapText="1"/>
    </xf>
    <xf numFmtId="0" fontId="75" fillId="2" borderId="61" xfId="12" applyFont="1" applyFill="1" applyBorder="1" applyAlignment="1">
      <alignment wrapText="1"/>
    </xf>
    <xf numFmtId="0" fontId="75" fillId="2" borderId="52" xfId="12" applyFont="1" applyFill="1" applyBorder="1" applyAlignment="1">
      <alignment wrapText="1"/>
    </xf>
    <xf numFmtId="0" fontId="76" fillId="2" borderId="52" xfId="12" quotePrefix="1" applyFont="1" applyFill="1" applyBorder="1" applyAlignment="1">
      <alignment wrapText="1"/>
    </xf>
    <xf numFmtId="0" fontId="76" fillId="2" borderId="15" xfId="12" applyFont="1" applyFill="1" applyBorder="1" applyAlignment="1">
      <alignment wrapText="1"/>
    </xf>
    <xf numFmtId="0" fontId="75" fillId="2" borderId="5" xfId="12" applyFont="1" applyFill="1" applyBorder="1" applyAlignment="1">
      <alignment horizontal="center" wrapText="1"/>
    </xf>
    <xf numFmtId="0" fontId="76" fillId="2" borderId="52" xfId="12" applyFont="1" applyFill="1" applyBorder="1" applyAlignment="1">
      <alignment wrapText="1"/>
    </xf>
    <xf numFmtId="0" fontId="75" fillId="2" borderId="46" xfId="12" applyFont="1" applyFill="1" applyBorder="1" applyAlignment="1">
      <alignment wrapText="1"/>
    </xf>
    <xf numFmtId="0" fontId="76" fillId="2" borderId="63" xfId="12" applyFont="1" applyFill="1" applyBorder="1" applyAlignment="1">
      <alignment wrapText="1"/>
    </xf>
    <xf numFmtId="0" fontId="79" fillId="2" borderId="52" xfId="12" applyFont="1" applyFill="1" applyBorder="1" applyAlignment="1">
      <alignment horizontal="center" wrapText="1"/>
    </xf>
    <xf numFmtId="0" fontId="76" fillId="2" borderId="58" xfId="12" applyFont="1" applyFill="1" applyBorder="1" applyAlignment="1">
      <alignment wrapText="1"/>
    </xf>
    <xf numFmtId="0" fontId="76" fillId="2" borderId="46" xfId="12" applyFont="1" applyFill="1" applyBorder="1" applyAlignment="1">
      <alignment wrapText="1"/>
    </xf>
    <xf numFmtId="43" fontId="81" fillId="2" borderId="0" xfId="1" applyFont="1" applyFill="1" applyBorder="1"/>
    <xf numFmtId="43" fontId="85" fillId="2" borderId="22" xfId="1" applyFont="1" applyFill="1" applyBorder="1" applyAlignment="1">
      <alignment horizontal="center"/>
    </xf>
    <xf numFmtId="43" fontId="85" fillId="2" borderId="2" xfId="1" applyFont="1" applyFill="1" applyBorder="1" applyAlignment="1">
      <alignment horizontal="center"/>
    </xf>
    <xf numFmtId="43" fontId="88" fillId="2" borderId="0" xfId="1" applyFont="1" applyFill="1" applyBorder="1" applyAlignment="1">
      <alignment horizontal="center"/>
    </xf>
    <xf numFmtId="43" fontId="88" fillId="2" borderId="18" xfId="1" applyFont="1" applyFill="1" applyBorder="1" applyAlignment="1">
      <alignment horizontal="center"/>
    </xf>
    <xf numFmtId="43" fontId="88" fillId="2" borderId="24" xfId="1" applyFont="1" applyFill="1" applyBorder="1" applyAlignment="1">
      <alignment horizontal="center"/>
    </xf>
    <xf numFmtId="43" fontId="88" fillId="5" borderId="0" xfId="1" applyFont="1" applyFill="1" applyBorder="1" applyAlignment="1">
      <alignment horizontal="center"/>
    </xf>
    <xf numFmtId="43" fontId="81" fillId="2" borderId="5" xfId="1" applyFont="1" applyFill="1" applyBorder="1" applyAlignment="1">
      <alignment horizontal="right" vertical="center"/>
    </xf>
    <xf numFmtId="43" fontId="81" fillId="2" borderId="5" xfId="1" applyFont="1" applyFill="1" applyBorder="1" applyAlignment="1">
      <alignment horizontal="right" vertical="top"/>
    </xf>
    <xf numFmtId="43" fontId="81" fillId="2" borderId="18" xfId="1" applyFont="1" applyFill="1" applyBorder="1" applyAlignment="1">
      <alignment horizontal="center"/>
    </xf>
    <xf numFmtId="0" fontId="88" fillId="2" borderId="48" xfId="0" applyFont="1" applyFill="1" applyBorder="1" applyAlignment="1">
      <alignment horizontal="center" vertical="center"/>
    </xf>
    <xf numFmtId="0" fontId="81" fillId="2" borderId="49" xfId="0" applyFont="1" applyFill="1" applyBorder="1" applyAlignment="1">
      <alignment horizontal="center" vertical="center"/>
    </xf>
    <xf numFmtId="0" fontId="81" fillId="2" borderId="50" xfId="0" applyFont="1" applyFill="1" applyBorder="1" applyAlignment="1">
      <alignment horizontal="center" vertical="center"/>
    </xf>
    <xf numFmtId="0" fontId="81" fillId="2" borderId="51" xfId="0" applyFont="1" applyFill="1" applyBorder="1" applyAlignment="1">
      <alignment vertical="center" wrapText="1"/>
    </xf>
    <xf numFmtId="43" fontId="81" fillId="2" borderId="52" xfId="1" applyFont="1" applyFill="1" applyBorder="1" applyAlignment="1">
      <alignment horizontal="center" vertical="center"/>
    </xf>
    <xf numFmtId="0" fontId="81" fillId="2" borderId="52" xfId="0" applyFont="1" applyFill="1" applyBorder="1" applyAlignment="1">
      <alignment horizontal="center" vertical="center"/>
    </xf>
    <xf numFmtId="43" fontId="81" fillId="2" borderId="49" xfId="1" applyFont="1" applyFill="1" applyBorder="1" applyAlignment="1">
      <alignment horizontal="right" vertical="center"/>
    </xf>
    <xf numFmtId="0" fontId="81" fillId="2" borderId="0" xfId="0" applyFont="1" applyFill="1" applyAlignment="1">
      <alignment vertical="center"/>
    </xf>
    <xf numFmtId="167" fontId="81" fillId="2" borderId="0" xfId="1" applyNumberFormat="1" applyFont="1" applyFill="1" applyBorder="1" applyAlignment="1">
      <alignment horizontal="center" vertical="center"/>
    </xf>
    <xf numFmtId="0" fontId="81" fillId="2" borderId="0" xfId="0" applyFont="1" applyFill="1" applyAlignment="1">
      <alignment horizontal="center" vertical="center"/>
    </xf>
    <xf numFmtId="43" fontId="85" fillId="2" borderId="11" xfId="1" applyFont="1" applyFill="1" applyBorder="1" applyAlignment="1">
      <alignment horizontal="center"/>
    </xf>
    <xf numFmtId="43" fontId="76" fillId="5" borderId="46" xfId="1" applyFont="1" applyFill="1" applyBorder="1" applyAlignment="1">
      <alignment horizontal="center"/>
    </xf>
    <xf numFmtId="43" fontId="88" fillId="2" borderId="8" xfId="1" applyFont="1" applyFill="1" applyBorder="1" applyAlignment="1">
      <alignment vertical="center"/>
    </xf>
    <xf numFmtId="4" fontId="75" fillId="2" borderId="38" xfId="1" applyNumberFormat="1" applyFont="1" applyFill="1" applyBorder="1" applyAlignment="1">
      <alignment vertical="center"/>
    </xf>
    <xf numFmtId="43" fontId="88" fillId="2" borderId="39" xfId="1" applyFont="1" applyFill="1" applyBorder="1" applyAlignment="1">
      <alignment horizontal="right"/>
    </xf>
    <xf numFmtId="43" fontId="88" fillId="2" borderId="26" xfId="1" applyFont="1" applyFill="1" applyBorder="1" applyAlignment="1">
      <alignment horizontal="right"/>
    </xf>
    <xf numFmtId="43" fontId="88" fillId="2" borderId="19" xfId="1" applyFont="1" applyFill="1" applyBorder="1" applyAlignment="1">
      <alignment horizontal="right"/>
    </xf>
    <xf numFmtId="4" fontId="75" fillId="2" borderId="8" xfId="1" applyNumberFormat="1" applyFont="1" applyFill="1" applyBorder="1" applyAlignment="1">
      <alignment vertical="center"/>
    </xf>
    <xf numFmtId="43" fontId="81" fillId="2" borderId="51" xfId="1" applyFont="1" applyFill="1" applyBorder="1" applyAlignment="1">
      <alignment horizontal="center" vertical="center"/>
    </xf>
    <xf numFmtId="43" fontId="89" fillId="2" borderId="52" xfId="1" applyFont="1" applyFill="1" applyBorder="1" applyAlignment="1">
      <alignment horizontal="left" vertical="center"/>
    </xf>
    <xf numFmtId="0" fontId="88" fillId="2" borderId="5" xfId="2" applyFont="1" applyFill="1" applyBorder="1" applyAlignment="1">
      <alignment horizontal="center" vertical="center"/>
    </xf>
    <xf numFmtId="0" fontId="88" fillId="2" borderId="5" xfId="2" applyFont="1" applyFill="1" applyBorder="1" applyAlignment="1">
      <alignment horizontal="center" vertical="center" wrapText="1"/>
    </xf>
    <xf numFmtId="43" fontId="94" fillId="2" borderId="5" xfId="1" applyFont="1" applyFill="1" applyBorder="1" applyAlignment="1">
      <alignment horizontal="right"/>
    </xf>
    <xf numFmtId="4" fontId="95" fillId="2" borderId="5" xfId="1" applyNumberFormat="1" applyFont="1" applyFill="1" applyBorder="1" applyAlignment="1">
      <alignment horizontal="right" vertical="center"/>
    </xf>
    <xf numFmtId="4" fontId="95" fillId="2" borderId="5" xfId="1" applyNumberFormat="1" applyFont="1" applyFill="1" applyBorder="1" applyAlignment="1">
      <alignment horizontal="center" vertical="center"/>
    </xf>
    <xf numFmtId="4" fontId="95" fillId="2" borderId="1" xfId="1" applyNumberFormat="1" applyFont="1" applyFill="1" applyBorder="1" applyAlignment="1">
      <alignment horizontal="right" vertical="center"/>
    </xf>
    <xf numFmtId="43" fontId="94" fillId="2" borderId="5" xfId="1" applyFont="1" applyFill="1" applyBorder="1" applyAlignment="1">
      <alignment horizontal="center"/>
    </xf>
    <xf numFmtId="43" fontId="94" fillId="2" borderId="6" xfId="1" applyFont="1" applyFill="1" applyBorder="1" applyAlignment="1">
      <alignment horizontal="right" vertical="center"/>
    </xf>
    <xf numFmtId="43" fontId="94" fillId="2" borderId="24" xfId="1" applyFont="1" applyFill="1" applyBorder="1" applyAlignment="1">
      <alignment horizontal="right"/>
    </xf>
    <xf numFmtId="43" fontId="94" fillId="2" borderId="24" xfId="1" applyFont="1" applyFill="1" applyBorder="1" applyAlignment="1">
      <alignment horizontal="center"/>
    </xf>
    <xf numFmtId="4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6" fillId="2" borderId="14" xfId="2" applyFont="1" applyFill="1" applyBorder="1" applyAlignment="1">
      <alignment horizontal="center" vertical="center"/>
    </xf>
    <xf numFmtId="43" fontId="94" fillId="2" borderId="6" xfId="1" applyFont="1" applyFill="1" applyBorder="1" applyAlignment="1">
      <alignment horizontal="right"/>
    </xf>
    <xf numFmtId="0" fontId="103" fillId="2" borderId="0" xfId="0" applyFont="1" applyFill="1"/>
    <xf numFmtId="43" fontId="103" fillId="0" borderId="0" xfId="1" applyFont="1" applyFill="1" applyBorder="1" applyAlignment="1">
      <alignment horizontal="center"/>
    </xf>
    <xf numFmtId="0" fontId="103" fillId="0" borderId="0" xfId="0" applyFont="1" applyAlignment="1">
      <alignment horizontal="center"/>
    </xf>
    <xf numFmtId="43" fontId="103" fillId="0" borderId="0" xfId="1" applyFont="1" applyFill="1" applyBorder="1" applyAlignment="1">
      <alignment horizontal="right"/>
    </xf>
    <xf numFmtId="0" fontId="103" fillId="0" borderId="0" xfId="0" applyFont="1"/>
    <xf numFmtId="0" fontId="7" fillId="2" borderId="0" xfId="0" applyFont="1" applyFill="1" applyAlignment="1">
      <alignment vertical="center"/>
    </xf>
    <xf numFmtId="43" fontId="7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1" applyNumberFormat="1" applyFont="1" applyFill="1" applyBorder="1" applyAlignment="1">
      <alignment horizontal="right" vertical="center" wrapText="1"/>
    </xf>
    <xf numFmtId="43" fontId="7" fillId="0" borderId="0" xfId="1" applyFont="1" applyFill="1" applyBorder="1" applyAlignment="1">
      <alignment horizontal="right" vertical="center" wrapText="1"/>
    </xf>
    <xf numFmtId="3" fontId="6" fillId="0" borderId="0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2" borderId="23" xfId="0" applyFont="1" applyFill="1" applyBorder="1" applyAlignment="1">
      <alignment vertical="top"/>
    </xf>
    <xf numFmtId="0" fontId="18" fillId="2" borderId="3" xfId="0" applyFont="1" applyFill="1" applyBorder="1" applyAlignment="1">
      <alignment vertical="top"/>
    </xf>
    <xf numFmtId="0" fontId="18" fillId="2" borderId="12" xfId="0" applyFont="1" applyFill="1" applyBorder="1" applyAlignment="1">
      <alignment vertical="top"/>
    </xf>
    <xf numFmtId="0" fontId="7" fillId="2" borderId="26" xfId="0" applyFont="1" applyFill="1" applyBorder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0" fontId="6" fillId="2" borderId="48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 vertical="top"/>
    </xf>
    <xf numFmtId="43" fontId="7" fillId="2" borderId="52" xfId="1" applyFont="1" applyFill="1" applyBorder="1" applyAlignment="1">
      <alignment horizontal="center"/>
    </xf>
    <xf numFmtId="43" fontId="7" fillId="2" borderId="52" xfId="1" applyFont="1" applyFill="1" applyBorder="1" applyAlignment="1">
      <alignment horizontal="right"/>
    </xf>
    <xf numFmtId="43" fontId="7" fillId="2" borderId="52" xfId="1" applyFont="1" applyFill="1" applyBorder="1" applyAlignment="1">
      <alignment horizontal="right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top" wrapText="1"/>
    </xf>
    <xf numFmtId="43" fontId="7" fillId="2" borderId="52" xfId="1" applyFont="1" applyFill="1" applyBorder="1" applyAlignment="1">
      <alignment horizontal="right" vertical="center" wrapText="1"/>
    </xf>
    <xf numFmtId="0" fontId="6" fillId="2" borderId="54" xfId="0" applyFont="1" applyFill="1" applyBorder="1" applyAlignment="1">
      <alignment horizontal="center"/>
    </xf>
    <xf numFmtId="0" fontId="7" fillId="2" borderId="58" xfId="0" applyFont="1" applyFill="1" applyBorder="1" applyAlignment="1">
      <alignment horizontal="center"/>
    </xf>
    <xf numFmtId="0" fontId="7" fillId="2" borderId="58" xfId="0" applyFont="1" applyFill="1" applyBorder="1" applyAlignment="1">
      <alignment horizontal="center" vertical="top"/>
    </xf>
    <xf numFmtId="4" fontId="7" fillId="2" borderId="58" xfId="1" applyNumberFormat="1" applyFont="1" applyFill="1" applyBorder="1" applyAlignment="1">
      <alignment horizontal="right" vertical="center"/>
    </xf>
    <xf numFmtId="43" fontId="7" fillId="2" borderId="58" xfId="1" applyFont="1" applyFill="1" applyBorder="1" applyAlignment="1">
      <alignment horizontal="right" vertical="center"/>
    </xf>
    <xf numFmtId="43" fontId="7" fillId="2" borderId="58" xfId="1" applyFont="1" applyFill="1" applyBorder="1" applyAlignment="1">
      <alignment horizontal="right"/>
    </xf>
    <xf numFmtId="0" fontId="6" fillId="2" borderId="50" xfId="0" applyFont="1" applyFill="1" applyBorder="1" applyAlignment="1">
      <alignment horizontal="center" vertical="top"/>
    </xf>
    <xf numFmtId="0" fontId="6" fillId="2" borderId="51" xfId="0" applyFont="1" applyFill="1" applyBorder="1"/>
    <xf numFmtId="0" fontId="7" fillId="2" borderId="50" xfId="0" applyFont="1" applyFill="1" applyBorder="1" applyAlignment="1">
      <alignment horizontal="center" vertical="top"/>
    </xf>
    <xf numFmtId="0" fontId="7" fillId="2" borderId="51" xfId="0" applyFont="1" applyFill="1" applyBorder="1"/>
    <xf numFmtId="0" fontId="7" fillId="2" borderId="51" xfId="0" applyFont="1" applyFill="1" applyBorder="1" applyAlignment="1">
      <alignment vertical="center" wrapText="1"/>
    </xf>
    <xf numFmtId="0" fontId="7" fillId="2" borderId="50" xfId="0" applyFont="1" applyFill="1" applyBorder="1" applyAlignment="1">
      <alignment horizontal="center" vertical="top" wrapText="1"/>
    </xf>
    <xf numFmtId="0" fontId="8" fillId="2" borderId="51" xfId="0" applyFont="1" applyFill="1" applyBorder="1"/>
    <xf numFmtId="0" fontId="7" fillId="2" borderId="51" xfId="0" applyFont="1" applyFill="1" applyBorder="1" applyAlignment="1">
      <alignment wrapText="1"/>
    </xf>
    <xf numFmtId="0" fontId="7" fillId="2" borderId="56" xfId="0" applyFont="1" applyFill="1" applyBorder="1" applyAlignment="1">
      <alignment horizontal="center" vertical="top"/>
    </xf>
    <xf numFmtId="0" fontId="7" fillId="2" borderId="57" xfId="0" applyFont="1" applyFill="1" applyBorder="1"/>
    <xf numFmtId="0" fontId="6" fillId="2" borderId="70" xfId="0" applyFont="1" applyFill="1" applyBorder="1" applyAlignment="1">
      <alignment horizontal="center"/>
    </xf>
    <xf numFmtId="0" fontId="6" fillId="2" borderId="72" xfId="0" applyFont="1" applyFill="1" applyBorder="1"/>
    <xf numFmtId="43" fontId="7" fillId="2" borderId="61" xfId="1" applyFont="1" applyFill="1" applyBorder="1" applyAlignment="1">
      <alignment horizontal="center"/>
    </xf>
    <xf numFmtId="43" fontId="7" fillId="2" borderId="61" xfId="1" applyFont="1" applyFill="1" applyBorder="1" applyAlignment="1">
      <alignment horizontal="right"/>
    </xf>
    <xf numFmtId="43" fontId="7" fillId="2" borderId="61" xfId="1" applyFont="1" applyFill="1" applyBorder="1" applyAlignment="1">
      <alignment horizontal="right" vertical="center"/>
    </xf>
    <xf numFmtId="0" fontId="6" fillId="2" borderId="70" xfId="2" applyFont="1" applyFill="1" applyBorder="1" applyAlignment="1">
      <alignment horizontal="center" vertical="center"/>
    </xf>
    <xf numFmtId="0" fontId="6" fillId="2" borderId="72" xfId="2" applyFont="1" applyFill="1" applyBorder="1" applyAlignment="1">
      <alignment horizontal="center" vertical="center"/>
    </xf>
    <xf numFmtId="0" fontId="6" fillId="2" borderId="61" xfId="2" applyFont="1" applyFill="1" applyBorder="1" applyAlignment="1">
      <alignment horizontal="center" vertical="center" wrapText="1"/>
    </xf>
    <xf numFmtId="0" fontId="6" fillId="2" borderId="61" xfId="2" applyFont="1" applyFill="1" applyBorder="1" applyAlignment="1">
      <alignment horizontal="center" vertical="center"/>
    </xf>
    <xf numFmtId="4" fontId="6" fillId="2" borderId="61" xfId="2" applyNumberFormat="1" applyFont="1" applyFill="1" applyBorder="1" applyAlignment="1">
      <alignment horizontal="center"/>
    </xf>
    <xf numFmtId="4" fontId="6" fillId="2" borderId="72" xfId="2" applyNumberFormat="1" applyFont="1" applyFill="1" applyBorder="1" applyAlignment="1">
      <alignment horizontal="center"/>
    </xf>
    <xf numFmtId="0" fontId="6" fillId="2" borderId="42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horizontal="center" vertical="center"/>
    </xf>
    <xf numFmtId="0" fontId="6" fillId="2" borderId="45" xfId="2" applyFont="1" applyFill="1" applyBorder="1" applyAlignment="1">
      <alignment horizontal="center" vertical="center"/>
    </xf>
    <xf numFmtId="0" fontId="6" fillId="2" borderId="46" xfId="2" applyFont="1" applyFill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center" vertical="center"/>
    </xf>
    <xf numFmtId="4" fontId="6" fillId="2" borderId="46" xfId="2" applyNumberFormat="1" applyFont="1" applyFill="1" applyBorder="1" applyAlignment="1">
      <alignment horizontal="center"/>
    </xf>
    <xf numFmtId="4" fontId="6" fillId="2" borderId="45" xfId="2" applyNumberFormat="1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 vertical="center" wrapText="1"/>
    </xf>
    <xf numFmtId="4" fontId="6" fillId="2" borderId="14" xfId="2" applyNumberFormat="1" applyFont="1" applyFill="1" applyBorder="1" applyAlignment="1">
      <alignment horizontal="center"/>
    </xf>
    <xf numFmtId="0" fontId="7" fillId="2" borderId="49" xfId="0" applyFont="1" applyFill="1" applyBorder="1" applyAlignment="1">
      <alignment horizontal="left"/>
    </xf>
    <xf numFmtId="0" fontId="103" fillId="2" borderId="49" xfId="0" applyFont="1" applyFill="1" applyBorder="1" applyAlignment="1">
      <alignment horizontal="left"/>
    </xf>
    <xf numFmtId="0" fontId="102" fillId="25" borderId="49" xfId="0" applyFont="1" applyFill="1" applyBorder="1" applyAlignment="1">
      <alignment horizontal="left"/>
    </xf>
    <xf numFmtId="0" fontId="6" fillId="25" borderId="50" xfId="0" applyFont="1" applyFill="1" applyBorder="1" applyAlignment="1">
      <alignment horizontal="center" vertical="top"/>
    </xf>
    <xf numFmtId="0" fontId="6" fillId="25" borderId="51" xfId="0" applyFont="1" applyFill="1" applyBorder="1"/>
    <xf numFmtId="0" fontId="6" fillId="25" borderId="52" xfId="0" applyFont="1" applyFill="1" applyBorder="1" applyAlignment="1">
      <alignment horizontal="center"/>
    </xf>
    <xf numFmtId="4" fontId="6" fillId="25" borderId="52" xfId="1" applyNumberFormat="1" applyFont="1" applyFill="1" applyBorder="1" applyAlignment="1">
      <alignment horizontal="right" vertical="center"/>
    </xf>
    <xf numFmtId="43" fontId="6" fillId="25" borderId="52" xfId="1" applyFont="1" applyFill="1" applyBorder="1" applyAlignment="1">
      <alignment horizontal="right" vertical="center"/>
    </xf>
    <xf numFmtId="43" fontId="6" fillId="25" borderId="52" xfId="1" applyFont="1" applyFill="1" applyBorder="1" applyAlignment="1">
      <alignment horizontal="right"/>
    </xf>
    <xf numFmtId="0" fontId="102" fillId="25" borderId="118" xfId="0" applyFont="1" applyFill="1" applyBorder="1" applyAlignment="1">
      <alignment horizontal="center"/>
    </xf>
    <xf numFmtId="0" fontId="102" fillId="25" borderId="119" xfId="0" applyFont="1" applyFill="1" applyBorder="1" applyAlignment="1">
      <alignment horizontal="left"/>
    </xf>
    <xf numFmtId="0" fontId="103" fillId="25" borderId="119" xfId="0" applyFont="1" applyFill="1" applyBorder="1" applyAlignment="1">
      <alignment horizontal="center" vertical="top"/>
    </xf>
    <xf numFmtId="0" fontId="102" fillId="25" borderId="119" xfId="0" applyFont="1" applyFill="1" applyBorder="1"/>
    <xf numFmtId="43" fontId="103" fillId="25" borderId="119" xfId="1" applyFont="1" applyFill="1" applyBorder="1" applyAlignment="1">
      <alignment horizontal="center"/>
    </xf>
    <xf numFmtId="0" fontId="103" fillId="25" borderId="119" xfId="0" applyFont="1" applyFill="1" applyBorder="1" applyAlignment="1">
      <alignment horizontal="center"/>
    </xf>
    <xf numFmtId="43" fontId="103" fillId="25" borderId="119" xfId="1" applyFont="1" applyFill="1" applyBorder="1" applyAlignment="1">
      <alignment horizontal="right"/>
    </xf>
    <xf numFmtId="0" fontId="102" fillId="25" borderId="48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 vertical="top" wrapText="1"/>
    </xf>
    <xf numFmtId="0" fontId="7" fillId="2" borderId="51" xfId="0" applyFont="1" applyFill="1" applyBorder="1" applyAlignment="1">
      <alignment vertical="top" wrapText="1"/>
    </xf>
    <xf numFmtId="167" fontId="7" fillId="2" borderId="52" xfId="1" applyNumberFormat="1" applyFont="1" applyFill="1" applyBorder="1" applyAlignment="1">
      <alignment horizontal="center" vertical="top" wrapText="1"/>
    </xf>
    <xf numFmtId="4" fontId="7" fillId="2" borderId="52" xfId="1" applyNumberFormat="1" applyFont="1" applyFill="1" applyBorder="1" applyAlignment="1">
      <alignment horizontal="right" vertical="top" wrapText="1"/>
    </xf>
    <xf numFmtId="43" fontId="7" fillId="2" borderId="52" xfId="1" applyFont="1" applyFill="1" applyBorder="1" applyAlignment="1">
      <alignment horizontal="right" vertical="top" wrapText="1"/>
    </xf>
    <xf numFmtId="0" fontId="7" fillId="2" borderId="0" xfId="0" applyFont="1" applyFill="1" applyAlignment="1">
      <alignment vertical="top" wrapText="1"/>
    </xf>
    <xf numFmtId="43" fontId="7" fillId="0" borderId="0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" fontId="7" fillId="0" borderId="0" xfId="1" applyNumberFormat="1" applyFont="1" applyFill="1" applyBorder="1" applyAlignment="1">
      <alignment horizontal="right" vertical="top" wrapText="1"/>
    </xf>
    <xf numFmtId="43" fontId="7" fillId="0" borderId="0" xfId="1" applyFont="1" applyFill="1" applyBorder="1" applyAlignment="1">
      <alignment horizontal="right" vertical="top" wrapText="1"/>
    </xf>
    <xf numFmtId="3" fontId="6" fillId="0" borderId="0" xfId="1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6" fillId="2" borderId="51" xfId="0" applyFont="1" applyFill="1" applyBorder="1" applyAlignment="1">
      <alignment vertical="top" wrapText="1"/>
    </xf>
    <xf numFmtId="43" fontId="7" fillId="2" borderId="52" xfId="1" applyFont="1" applyFill="1" applyBorder="1" applyAlignment="1">
      <alignment horizontal="right" vertical="top"/>
    </xf>
    <xf numFmtId="0" fontId="6" fillId="2" borderId="50" xfId="0" applyFont="1" applyFill="1" applyBorder="1" applyAlignment="1">
      <alignment horizontal="center" vertical="top" wrapText="1"/>
    </xf>
    <xf numFmtId="0" fontId="4" fillId="2" borderId="2" xfId="0" applyFont="1" applyFill="1" applyBorder="1"/>
    <xf numFmtId="0" fontId="4" fillId="2" borderId="36" xfId="0" applyFont="1" applyFill="1" applyBorder="1"/>
    <xf numFmtId="4" fontId="6" fillId="2" borderId="22" xfId="2" applyNumberFormat="1" applyFont="1" applyFill="1" applyBorder="1" applyAlignment="1">
      <alignment horizontal="center"/>
    </xf>
    <xf numFmtId="4" fontId="6" fillId="2" borderId="44" xfId="2" applyNumberFormat="1" applyFont="1" applyFill="1" applyBorder="1" applyAlignment="1">
      <alignment horizontal="center"/>
    </xf>
    <xf numFmtId="4" fontId="6" fillId="2" borderId="71" xfId="2" applyNumberFormat="1" applyFont="1" applyFill="1" applyBorder="1" applyAlignment="1">
      <alignment horizontal="center"/>
    </xf>
    <xf numFmtId="43" fontId="103" fillId="25" borderId="89" xfId="1" applyFont="1" applyFill="1" applyBorder="1" applyAlignment="1">
      <alignment horizontal="right"/>
    </xf>
    <xf numFmtId="43" fontId="7" fillId="2" borderId="62" xfId="1" applyFont="1" applyFill="1" applyBorder="1" applyAlignment="1">
      <alignment horizontal="right"/>
    </xf>
    <xf numFmtId="43" fontId="7" fillId="2" borderId="49" xfId="1" applyFont="1" applyFill="1" applyBorder="1" applyAlignment="1">
      <alignment horizontal="right"/>
    </xf>
    <xf numFmtId="43" fontId="7" fillId="2" borderId="49" xfId="1" applyFont="1" applyFill="1" applyBorder="1" applyAlignment="1">
      <alignment horizontal="right" vertical="center"/>
    </xf>
    <xf numFmtId="43" fontId="7" fillId="2" borderId="49" xfId="1" applyFont="1" applyFill="1" applyBorder="1" applyAlignment="1">
      <alignment horizontal="right" vertical="center" wrapText="1"/>
    </xf>
    <xf numFmtId="43" fontId="6" fillId="25" borderId="49" xfId="1" applyFont="1" applyFill="1" applyBorder="1" applyAlignment="1">
      <alignment horizontal="right"/>
    </xf>
    <xf numFmtId="43" fontId="7" fillId="2" borderId="49" xfId="1" applyFont="1" applyFill="1" applyBorder="1" applyAlignment="1">
      <alignment horizontal="right" vertical="top" wrapText="1"/>
    </xf>
    <xf numFmtId="43" fontId="7" fillId="2" borderId="49" xfId="1" applyFont="1" applyFill="1" applyBorder="1" applyAlignment="1">
      <alignment horizontal="right" vertical="top"/>
    </xf>
    <xf numFmtId="43" fontId="7" fillId="2" borderId="55" xfId="1" applyFont="1" applyFill="1" applyBorder="1" applyAlignment="1">
      <alignment horizontal="right"/>
    </xf>
    <xf numFmtId="3" fontId="6" fillId="2" borderId="33" xfId="1" applyNumberFormat="1" applyFont="1" applyFill="1" applyBorder="1" applyAlignment="1">
      <alignment horizontal="right" vertical="center"/>
    </xf>
    <xf numFmtId="43" fontId="6" fillId="2" borderId="61" xfId="1" applyFont="1" applyFill="1" applyBorder="1" applyAlignment="1">
      <alignment horizontal="center" vertical="center" wrapText="1"/>
    </xf>
    <xf numFmtId="43" fontId="102" fillId="2" borderId="70" xfId="1" applyFont="1" applyFill="1" applyBorder="1" applyAlignment="1">
      <alignment horizontal="center" vertical="center"/>
    </xf>
    <xf numFmtId="43" fontId="102" fillId="2" borderId="71" xfId="1" applyFont="1" applyFill="1" applyBorder="1" applyAlignment="1">
      <alignment horizontal="center" vertical="center"/>
    </xf>
    <xf numFmtId="43" fontId="102" fillId="2" borderId="72" xfId="1" applyFont="1" applyFill="1" applyBorder="1" applyAlignment="1">
      <alignment horizontal="center" vertical="center"/>
    </xf>
    <xf numFmtId="43" fontId="102" fillId="2" borderId="61" xfId="1" applyFont="1" applyFill="1" applyBorder="1" applyAlignment="1">
      <alignment horizontal="center" vertical="center" wrapText="1"/>
    </xf>
    <xf numFmtId="43" fontId="102" fillId="2" borderId="61" xfId="1" applyFont="1" applyFill="1" applyBorder="1" applyAlignment="1">
      <alignment horizontal="center" vertical="center"/>
    </xf>
    <xf numFmtId="43" fontId="102" fillId="2" borderId="61" xfId="1" applyFont="1" applyFill="1" applyBorder="1" applyAlignment="1">
      <alignment horizontal="center"/>
    </xf>
    <xf numFmtId="43" fontId="102" fillId="2" borderId="72" xfId="1" applyFont="1" applyFill="1" applyBorder="1" applyAlignment="1">
      <alignment horizontal="center"/>
    </xf>
    <xf numFmtId="43" fontId="102" fillId="2" borderId="71" xfId="1" applyFont="1" applyFill="1" applyBorder="1" applyAlignment="1">
      <alignment horizontal="center"/>
    </xf>
    <xf numFmtId="43" fontId="102" fillId="2" borderId="48" xfId="1" applyFont="1" applyFill="1" applyBorder="1" applyAlignment="1">
      <alignment horizontal="center" vertical="center"/>
    </xf>
    <xf numFmtId="43" fontId="102" fillId="2" borderId="50" xfId="1" applyFont="1" applyFill="1" applyBorder="1" applyAlignment="1">
      <alignment horizontal="center" vertical="center"/>
    </xf>
    <xf numFmtId="43" fontId="102" fillId="2" borderId="51" xfId="1" applyFont="1" applyFill="1" applyBorder="1" applyAlignment="1">
      <alignment horizontal="center" vertical="center"/>
    </xf>
    <xf numFmtId="43" fontId="102" fillId="2" borderId="52" xfId="1" applyFont="1" applyFill="1" applyBorder="1" applyAlignment="1">
      <alignment horizontal="center"/>
    </xf>
    <xf numFmtId="43" fontId="102" fillId="2" borderId="51" xfId="1" applyFont="1" applyFill="1" applyBorder="1" applyAlignment="1">
      <alignment horizontal="center"/>
    </xf>
    <xf numFmtId="0" fontId="102" fillId="2" borderId="71" xfId="2" applyFont="1" applyFill="1" applyBorder="1" applyAlignment="1">
      <alignment horizontal="center" vertical="center"/>
    </xf>
    <xf numFmtId="4" fontId="7" fillId="2" borderId="53" xfId="1" applyNumberFormat="1" applyFont="1" applyFill="1" applyBorder="1" applyAlignment="1">
      <alignment horizontal="right" vertical="center"/>
    </xf>
    <xf numFmtId="0" fontId="6" fillId="2" borderId="66" xfId="2" applyFont="1" applyFill="1" applyBorder="1" applyAlignment="1">
      <alignment horizontal="center" vertical="center"/>
    </xf>
    <xf numFmtId="0" fontId="6" fillId="2" borderId="67" xfId="2" applyFont="1" applyFill="1" applyBorder="1" applyAlignment="1">
      <alignment horizontal="center" vertical="center"/>
    </xf>
    <xf numFmtId="0" fontId="6" fillId="2" borderId="68" xfId="2" applyFont="1" applyFill="1" applyBorder="1" applyAlignment="1">
      <alignment horizontal="center" vertical="center"/>
    </xf>
    <xf numFmtId="0" fontId="6" fillId="2" borderId="63" xfId="2" applyFont="1" applyFill="1" applyBorder="1" applyAlignment="1">
      <alignment horizontal="center" vertical="center" wrapText="1"/>
    </xf>
    <xf numFmtId="0" fontId="6" fillId="2" borderId="63" xfId="2" applyFont="1" applyFill="1" applyBorder="1" applyAlignment="1">
      <alignment horizontal="center" vertical="center"/>
    </xf>
    <xf numFmtId="4" fontId="6" fillId="2" borderId="63" xfId="2" applyNumberFormat="1" applyFont="1" applyFill="1" applyBorder="1" applyAlignment="1">
      <alignment horizontal="center"/>
    </xf>
    <xf numFmtId="4" fontId="6" fillId="2" borderId="68" xfId="2" applyNumberFormat="1" applyFont="1" applyFill="1" applyBorder="1" applyAlignment="1">
      <alignment horizontal="center"/>
    </xf>
    <xf numFmtId="4" fontId="6" fillId="2" borderId="67" xfId="2" applyNumberFormat="1" applyFont="1" applyFill="1" applyBorder="1" applyAlignment="1">
      <alignment horizontal="center"/>
    </xf>
    <xf numFmtId="0" fontId="102" fillId="2" borderId="123" xfId="2" applyFont="1" applyFill="1" applyBorder="1" applyAlignment="1">
      <alignment horizontal="right" vertical="center"/>
    </xf>
    <xf numFmtId="0" fontId="102" fillId="2" borderId="121" xfId="2" applyFont="1" applyFill="1" applyBorder="1" applyAlignment="1">
      <alignment horizontal="center" vertical="center"/>
    </xf>
    <xf numFmtId="0" fontId="102" fillId="2" borderId="75" xfId="2" applyFont="1" applyFill="1" applyBorder="1" applyAlignment="1">
      <alignment horizontal="center" vertical="center"/>
    </xf>
    <xf numFmtId="0" fontId="102" fillId="2" borderId="124" xfId="2" applyFont="1" applyFill="1" applyBorder="1" applyAlignment="1">
      <alignment horizontal="center" vertical="center" wrapText="1"/>
    </xf>
    <xf numFmtId="0" fontId="102" fillId="2" borderId="124" xfId="2" applyFont="1" applyFill="1" applyBorder="1" applyAlignment="1">
      <alignment horizontal="center" vertical="center"/>
    </xf>
    <xf numFmtId="4" fontId="102" fillId="2" borderId="124" xfId="2" applyNumberFormat="1" applyFont="1" applyFill="1" applyBorder="1" applyAlignment="1">
      <alignment horizontal="center"/>
    </xf>
    <xf numFmtId="43" fontId="102" fillId="0" borderId="0" xfId="2" applyNumberFormat="1" applyFont="1" applyAlignment="1">
      <alignment horizontal="center" vertical="center" wrapText="1"/>
    </xf>
    <xf numFmtId="0" fontId="102" fillId="0" borderId="0" xfId="2" applyFont="1" applyAlignment="1">
      <alignment horizontal="center" vertical="center"/>
    </xf>
    <xf numFmtId="4" fontId="102" fillId="0" borderId="0" xfId="2" applyNumberFormat="1" applyFont="1" applyAlignment="1">
      <alignment horizontal="center" vertical="center"/>
    </xf>
    <xf numFmtId="4" fontId="102" fillId="0" borderId="0" xfId="2" applyNumberFormat="1" applyFont="1" applyAlignment="1">
      <alignment horizontal="center"/>
    </xf>
    <xf numFmtId="0" fontId="102" fillId="2" borderId="0" xfId="0" applyFont="1" applyFill="1" applyAlignment="1">
      <alignment horizontal="center"/>
    </xf>
    <xf numFmtId="0" fontId="102" fillId="0" borderId="0" xfId="0" applyFont="1" applyAlignment="1">
      <alignment horizontal="center"/>
    </xf>
    <xf numFmtId="43" fontId="104" fillId="2" borderId="125" xfId="1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 vertical="top"/>
    </xf>
    <xf numFmtId="0" fontId="7" fillId="2" borderId="51" xfId="0" applyFont="1" applyFill="1" applyBorder="1" applyAlignment="1">
      <alignment vertical="top"/>
    </xf>
    <xf numFmtId="167" fontId="7" fillId="2" borderId="52" xfId="1" applyNumberFormat="1" applyFont="1" applyFill="1" applyBorder="1" applyAlignment="1">
      <alignment horizontal="center" vertical="top"/>
    </xf>
    <xf numFmtId="0" fontId="7" fillId="2" borderId="0" xfId="0" applyFont="1" applyFill="1" applyAlignment="1">
      <alignment vertical="top"/>
    </xf>
    <xf numFmtId="43" fontId="7" fillId="0" borderId="0" xfId="1" applyFont="1" applyFill="1" applyBorder="1" applyAlignment="1">
      <alignment horizontal="center" vertical="top"/>
    </xf>
    <xf numFmtId="4" fontId="7" fillId="0" borderId="0" xfId="1" applyNumberFormat="1" applyFont="1" applyFill="1" applyBorder="1" applyAlignment="1">
      <alignment horizontal="right" vertical="top"/>
    </xf>
    <xf numFmtId="43" fontId="7" fillId="0" borderId="0" xfId="1" applyFont="1" applyFill="1" applyBorder="1" applyAlignment="1">
      <alignment horizontal="right" vertical="top"/>
    </xf>
    <xf numFmtId="3" fontId="6" fillId="0" borderId="0" xfId="1" applyNumberFormat="1" applyFont="1" applyFill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2" borderId="50" xfId="0" applyFont="1" applyFill="1" applyBorder="1" applyAlignment="1">
      <alignment horizontal="left" vertical="top"/>
    </xf>
    <xf numFmtId="0" fontId="7" fillId="2" borderId="50" xfId="0" applyFont="1" applyFill="1" applyBorder="1" applyAlignment="1">
      <alignment horizontal="right" vertical="top"/>
    </xf>
    <xf numFmtId="0" fontId="6" fillId="2" borderId="50" xfId="0" applyFont="1" applyFill="1" applyBorder="1" applyAlignment="1">
      <alignment horizontal="left" vertical="top"/>
    </xf>
    <xf numFmtId="0" fontId="6" fillId="2" borderId="49" xfId="0" applyFont="1" applyFill="1" applyBorder="1" applyAlignment="1">
      <alignment horizontal="left" vertical="top"/>
    </xf>
    <xf numFmtId="0" fontId="7" fillId="2" borderId="51" xfId="0" applyFont="1" applyFill="1" applyBorder="1" applyAlignment="1">
      <alignment horizontal="left" vertical="top"/>
    </xf>
    <xf numFmtId="43" fontId="6" fillId="2" borderId="111" xfId="1" applyFont="1" applyFill="1" applyBorder="1" applyAlignment="1">
      <alignment horizontal="center"/>
    </xf>
    <xf numFmtId="43" fontId="103" fillId="25" borderId="120" xfId="1" applyFont="1" applyFill="1" applyBorder="1" applyAlignment="1">
      <alignment horizontal="right"/>
    </xf>
    <xf numFmtId="43" fontId="7" fillId="2" borderId="53" xfId="1" applyFont="1" applyFill="1" applyBorder="1" applyAlignment="1">
      <alignment horizontal="right" vertical="center"/>
    </xf>
    <xf numFmtId="43" fontId="18" fillId="2" borderId="31" xfId="1" applyFont="1" applyFill="1" applyBorder="1"/>
    <xf numFmtId="43" fontId="18" fillId="2" borderId="34" xfId="1" applyFont="1" applyFill="1" applyBorder="1"/>
    <xf numFmtId="43" fontId="7" fillId="2" borderId="47" xfId="1" applyFont="1" applyFill="1" applyBorder="1" applyAlignment="1">
      <alignment horizontal="center"/>
    </xf>
    <xf numFmtId="43" fontId="7" fillId="2" borderId="73" xfId="1" applyFont="1" applyFill="1" applyBorder="1" applyAlignment="1">
      <alignment horizontal="center"/>
    </xf>
    <xf numFmtId="43" fontId="103" fillId="2" borderId="73" xfId="1" applyFont="1" applyFill="1" applyBorder="1" applyAlignment="1">
      <alignment horizontal="center"/>
    </xf>
    <xf numFmtId="43" fontId="7" fillId="2" borderId="69" xfId="1" applyFont="1" applyFill="1" applyBorder="1" applyAlignment="1">
      <alignment horizontal="center"/>
    </xf>
    <xf numFmtId="43" fontId="7" fillId="2" borderId="14" xfId="1" applyFont="1" applyFill="1" applyBorder="1" applyAlignment="1">
      <alignment horizontal="center"/>
    </xf>
    <xf numFmtId="43" fontId="7" fillId="2" borderId="73" xfId="1" applyFont="1" applyFill="1" applyBorder="1" applyAlignment="1">
      <alignment horizontal="right" vertical="center"/>
    </xf>
    <xf numFmtId="43" fontId="7" fillId="2" borderId="53" xfId="1" applyFont="1" applyFill="1" applyBorder="1" applyAlignment="1">
      <alignment horizontal="right" vertical="center" wrapText="1"/>
    </xf>
    <xf numFmtId="43" fontId="7" fillId="25" borderId="53" xfId="1" applyFont="1" applyFill="1" applyBorder="1" applyAlignment="1">
      <alignment horizontal="right" vertical="center"/>
    </xf>
    <xf numFmtId="43" fontId="7" fillId="2" borderId="53" xfId="1" applyFont="1" applyFill="1" applyBorder="1" applyAlignment="1">
      <alignment horizontal="right" vertical="top" wrapText="1"/>
    </xf>
    <xf numFmtId="43" fontId="7" fillId="2" borderId="53" xfId="1" applyFont="1" applyFill="1" applyBorder="1" applyAlignment="1">
      <alignment horizontal="right" vertical="top"/>
    </xf>
    <xf numFmtId="43" fontId="7" fillId="2" borderId="59" xfId="1" applyFont="1" applyFill="1" applyBorder="1" applyAlignment="1">
      <alignment horizontal="right" vertical="center"/>
    </xf>
    <xf numFmtId="43" fontId="7" fillId="2" borderId="38" xfId="1" applyFont="1" applyFill="1" applyBorder="1" applyAlignment="1">
      <alignment horizontal="right" vertical="center"/>
    </xf>
    <xf numFmtId="43" fontId="7" fillId="2" borderId="52" xfId="1" applyFont="1" applyFill="1" applyBorder="1" applyAlignment="1">
      <alignment horizontal="center" vertical="top" wrapText="1"/>
    </xf>
    <xf numFmtId="43" fontId="7" fillId="2" borderId="52" xfId="1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6" fillId="2" borderId="43" xfId="2" applyFont="1" applyFill="1" applyBorder="1" applyAlignment="1">
      <alignment horizontal="left" vertical="center"/>
    </xf>
    <xf numFmtId="0" fontId="104" fillId="2" borderId="62" xfId="2" applyFont="1" applyFill="1" applyBorder="1" applyAlignment="1">
      <alignment horizontal="left" vertical="center"/>
    </xf>
    <xf numFmtId="43" fontId="102" fillId="2" borderId="62" xfId="1" applyFont="1" applyFill="1" applyBorder="1" applyAlignment="1">
      <alignment horizontal="left" vertical="center"/>
    </xf>
    <xf numFmtId="43" fontId="102" fillId="2" borderId="49" xfId="1" applyFont="1" applyFill="1" applyBorder="1" applyAlignment="1">
      <alignment horizontal="left" vertical="center"/>
    </xf>
    <xf numFmtId="0" fontId="6" fillId="2" borderId="64" xfId="2" applyFont="1" applyFill="1" applyBorder="1" applyAlignment="1">
      <alignment horizontal="left" vertical="center"/>
    </xf>
    <xf numFmtId="0" fontId="102" fillId="2" borderId="122" xfId="2" applyFont="1" applyFill="1" applyBorder="1" applyAlignment="1">
      <alignment horizontal="left" vertical="center"/>
    </xf>
    <xf numFmtId="0" fontId="6" fillId="2" borderId="14" xfId="2" applyFont="1" applyFill="1" applyBorder="1" applyAlignment="1">
      <alignment horizontal="left" vertical="center"/>
    </xf>
    <xf numFmtId="0" fontId="6" fillId="2" borderId="62" xfId="0" applyFont="1" applyFill="1" applyBorder="1" applyAlignment="1">
      <alignment horizontal="left"/>
    </xf>
    <xf numFmtId="0" fontId="7" fillId="2" borderId="49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left" vertical="center" wrapText="1"/>
    </xf>
    <xf numFmtId="0" fontId="6" fillId="2" borderId="49" xfId="0" applyFont="1" applyFill="1" applyBorder="1" applyAlignment="1">
      <alignment horizontal="left"/>
    </xf>
    <xf numFmtId="0" fontId="6" fillId="2" borderId="49" xfId="0" applyFont="1" applyFill="1" applyBorder="1" applyAlignment="1">
      <alignment horizontal="left" vertical="top" wrapText="1"/>
    </xf>
    <xf numFmtId="0" fontId="7" fillId="2" borderId="49" xfId="0" applyFont="1" applyFill="1" applyBorder="1" applyAlignment="1">
      <alignment horizontal="left" vertical="top" wrapText="1"/>
    </xf>
    <xf numFmtId="0" fontId="7" fillId="2" borderId="49" xfId="0" applyFont="1" applyFill="1" applyBorder="1" applyAlignment="1">
      <alignment horizontal="left" vertical="top"/>
    </xf>
    <xf numFmtId="0" fontId="7" fillId="2" borderId="5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50" xfId="0" quotePrefix="1" applyFont="1" applyFill="1" applyBorder="1" applyAlignment="1">
      <alignment horizontal="right" vertical="top"/>
    </xf>
    <xf numFmtId="0" fontId="6" fillId="2" borderId="50" xfId="0" applyFont="1" applyFill="1" applyBorder="1" applyAlignment="1">
      <alignment horizontal="right" vertical="top"/>
    </xf>
    <xf numFmtId="43" fontId="6" fillId="2" borderId="48" xfId="1" applyFont="1" applyFill="1" applyBorder="1" applyAlignment="1">
      <alignment horizontal="center" vertical="top"/>
    </xf>
    <xf numFmtId="43" fontId="7" fillId="2" borderId="51" xfId="1" applyFont="1" applyFill="1" applyBorder="1" applyAlignment="1">
      <alignment vertical="top"/>
    </xf>
    <xf numFmtId="43" fontId="7" fillId="2" borderId="0" xfId="1" applyFont="1" applyFill="1" applyAlignment="1">
      <alignment vertical="top"/>
    </xf>
    <xf numFmtId="43" fontId="7" fillId="2" borderId="0" xfId="1" applyFont="1" applyFill="1" applyAlignment="1">
      <alignment vertical="top" wrapText="1"/>
    </xf>
    <xf numFmtId="43" fontId="7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right" vertical="top"/>
    </xf>
    <xf numFmtId="43" fontId="7" fillId="0" borderId="0" xfId="1" applyFont="1" applyAlignment="1">
      <alignment vertical="top"/>
    </xf>
    <xf numFmtId="43" fontId="7" fillId="2" borderId="49" xfId="1" applyFont="1" applyFill="1" applyBorder="1" applyAlignment="1">
      <alignment horizontal="left" vertical="top"/>
    </xf>
    <xf numFmtId="43" fontId="7" fillId="2" borderId="50" xfId="1" quotePrefix="1" applyFont="1" applyFill="1" applyBorder="1" applyAlignment="1">
      <alignment horizontal="right" vertical="top"/>
    </xf>
    <xf numFmtId="43" fontId="7" fillId="2" borderId="51" xfId="1" applyFont="1" applyFill="1" applyBorder="1" applyAlignment="1">
      <alignment vertical="top" wrapText="1"/>
    </xf>
    <xf numFmtId="43" fontId="7" fillId="2" borderId="50" xfId="1" applyFont="1" applyFill="1" applyBorder="1" applyAlignment="1">
      <alignment horizontal="center" vertical="top"/>
    </xf>
    <xf numFmtId="43" fontId="7" fillId="2" borderId="68" xfId="1" applyFont="1" applyFill="1" applyBorder="1" applyAlignment="1">
      <alignment vertical="top"/>
    </xf>
    <xf numFmtId="43" fontId="7" fillId="2" borderId="0" xfId="1" applyFont="1" applyFill="1" applyAlignment="1">
      <alignment horizontal="center" vertical="top"/>
    </xf>
    <xf numFmtId="43" fontId="6" fillId="2" borderId="66" xfId="1" applyFont="1" applyFill="1" applyBorder="1" applyAlignment="1">
      <alignment horizontal="center" vertical="top"/>
    </xf>
    <xf numFmtId="43" fontId="7" fillId="2" borderId="64" xfId="1" applyFont="1" applyFill="1" applyBorder="1" applyAlignment="1">
      <alignment horizontal="left" vertical="top"/>
    </xf>
    <xf numFmtId="43" fontId="7" fillId="2" borderId="67" xfId="1" quotePrefix="1" applyFont="1" applyFill="1" applyBorder="1" applyAlignment="1">
      <alignment horizontal="right" vertical="top"/>
    </xf>
    <xf numFmtId="43" fontId="7" fillId="2" borderId="68" xfId="1" applyFont="1" applyFill="1" applyBorder="1" applyAlignment="1">
      <alignment vertical="top" wrapText="1"/>
    </xf>
    <xf numFmtId="43" fontId="7" fillId="2" borderId="63" xfId="1" applyFont="1" applyFill="1" applyBorder="1" applyAlignment="1">
      <alignment horizontal="center" vertical="top"/>
    </xf>
    <xf numFmtId="43" fontId="7" fillId="2" borderId="63" xfId="1" applyFont="1" applyFill="1" applyBorder="1" applyAlignment="1">
      <alignment horizontal="right" vertical="top"/>
    </xf>
    <xf numFmtId="43" fontId="7" fillId="2" borderId="64" xfId="1" applyFont="1" applyFill="1" applyBorder="1" applyAlignment="1">
      <alignment horizontal="right" vertical="top"/>
    </xf>
    <xf numFmtId="43" fontId="7" fillId="2" borderId="69" xfId="1" applyFont="1" applyFill="1" applyBorder="1" applyAlignment="1">
      <alignment horizontal="right" vertical="top"/>
    </xf>
    <xf numFmtId="43" fontId="102" fillId="2" borderId="8" xfId="1" applyFont="1" applyFill="1" applyBorder="1" applyAlignment="1">
      <alignment vertical="center"/>
    </xf>
    <xf numFmtId="0" fontId="102" fillId="2" borderId="19" xfId="0" applyFont="1" applyFill="1" applyBorder="1" applyAlignment="1">
      <alignment horizontal="center"/>
    </xf>
    <xf numFmtId="0" fontId="102" fillId="2" borderId="39" xfId="0" applyFont="1" applyFill="1" applyBorder="1" applyAlignment="1">
      <alignment horizontal="center"/>
    </xf>
    <xf numFmtId="0" fontId="103" fillId="2" borderId="26" xfId="0" applyFont="1" applyFill="1" applyBorder="1" applyAlignment="1">
      <alignment horizontal="left"/>
    </xf>
    <xf numFmtId="0" fontId="103" fillId="2" borderId="26" xfId="0" applyFont="1" applyFill="1" applyBorder="1" applyAlignment="1">
      <alignment horizontal="right" vertical="top"/>
    </xf>
    <xf numFmtId="0" fontId="103" fillId="2" borderId="18" xfId="0" applyFont="1" applyFill="1" applyBorder="1" applyAlignment="1">
      <alignment horizontal="center"/>
    </xf>
    <xf numFmtId="4" fontId="103" fillId="2" borderId="18" xfId="1" applyNumberFormat="1" applyFont="1" applyFill="1" applyBorder="1" applyAlignment="1">
      <alignment horizontal="center" vertical="center"/>
    </xf>
    <xf numFmtId="43" fontId="103" fillId="2" borderId="25" xfId="1" applyFont="1" applyFill="1" applyBorder="1"/>
    <xf numFmtId="43" fontId="103" fillId="0" borderId="0" xfId="1" applyFont="1" applyFill="1" applyBorder="1" applyAlignment="1">
      <alignment horizontal="center" wrapText="1"/>
    </xf>
    <xf numFmtId="0" fontId="103" fillId="0" borderId="0" xfId="0" applyFont="1" applyAlignment="1">
      <alignment horizontal="center" wrapText="1"/>
    </xf>
    <xf numFmtId="43" fontId="103" fillId="0" borderId="0" xfId="1" applyFont="1" applyFill="1" applyBorder="1" applyAlignment="1">
      <alignment wrapText="1"/>
    </xf>
    <xf numFmtId="43" fontId="103" fillId="0" borderId="0" xfId="1" applyFont="1" applyFill="1" applyBorder="1" applyAlignment="1">
      <alignment horizontal="center" vertical="center" wrapText="1"/>
    </xf>
    <xf numFmtId="4" fontId="103" fillId="0" borderId="0" xfId="1" applyNumberFormat="1" applyFont="1" applyFill="1" applyBorder="1" applyAlignment="1">
      <alignment horizontal="center" vertical="center" wrapText="1"/>
    </xf>
    <xf numFmtId="41" fontId="102" fillId="0" borderId="0" xfId="1" applyNumberFormat="1" applyFont="1" applyFill="1" applyBorder="1" applyAlignment="1">
      <alignment vertical="center" wrapText="1"/>
    </xf>
    <xf numFmtId="3" fontId="103" fillId="2" borderId="26" xfId="1" applyNumberFormat="1" applyFont="1" applyFill="1" applyBorder="1" applyAlignment="1">
      <alignment horizontal="right"/>
    </xf>
    <xf numFmtId="43" fontId="102" fillId="2" borderId="5" xfId="1" applyFont="1" applyFill="1" applyBorder="1" applyAlignment="1">
      <alignment vertical="center"/>
    </xf>
    <xf numFmtId="4" fontId="7" fillId="2" borderId="5" xfId="1" applyNumberFormat="1" applyFont="1" applyFill="1" applyBorder="1" applyAlignment="1">
      <alignment horizontal="center" vertical="center"/>
    </xf>
    <xf numFmtId="43" fontId="7" fillId="2" borderId="5" xfId="1" applyFont="1" applyFill="1" applyBorder="1"/>
    <xf numFmtId="43" fontId="102" fillId="2" borderId="18" xfId="1" applyFont="1" applyFill="1" applyBorder="1" applyAlignment="1">
      <alignment horizontal="center" vertical="center"/>
    </xf>
    <xf numFmtId="0" fontId="103" fillId="2" borderId="26" xfId="0" applyFont="1" applyFill="1" applyBorder="1" applyAlignment="1">
      <alignment horizontal="right"/>
    </xf>
    <xf numFmtId="43" fontId="102" fillId="2" borderId="6" xfId="1" applyFont="1" applyFill="1" applyBorder="1" applyAlignment="1">
      <alignment horizontal="center" vertical="center"/>
    </xf>
    <xf numFmtId="166" fontId="106" fillId="0" borderId="52" xfId="325" applyFont="1" applyFill="1" applyBorder="1" applyAlignment="1"/>
    <xf numFmtId="0" fontId="110" fillId="0" borderId="48" xfId="324" applyFont="1" applyBorder="1" applyAlignment="1">
      <alignment horizontal="center"/>
    </xf>
    <xf numFmtId="0" fontId="111" fillId="0" borderId="49" xfId="324" applyFont="1" applyBorder="1" applyAlignment="1">
      <alignment horizontal="left"/>
    </xf>
    <xf numFmtId="0" fontId="7" fillId="0" borderId="0" xfId="324" applyFont="1"/>
    <xf numFmtId="166" fontId="7" fillId="0" borderId="0" xfId="324" applyNumberFormat="1" applyFont="1"/>
    <xf numFmtId="0" fontId="7" fillId="0" borderId="28" xfId="324" applyFont="1" applyBorder="1"/>
    <xf numFmtId="49" fontId="106" fillId="0" borderId="14" xfId="324" applyNumberFormat="1" applyFont="1" applyBorder="1"/>
    <xf numFmtId="49" fontId="107" fillId="0" borderId="14" xfId="324" applyNumberFormat="1" applyFont="1" applyBorder="1"/>
    <xf numFmtId="49" fontId="108" fillId="0" borderId="14" xfId="324" applyNumberFormat="1" applyFont="1" applyBorder="1"/>
    <xf numFmtId="49" fontId="109" fillId="0" borderId="14" xfId="324" applyNumberFormat="1" applyFont="1" applyBorder="1"/>
    <xf numFmtId="0" fontId="107" fillId="0" borderId="14" xfId="324" applyFont="1" applyBorder="1"/>
    <xf numFmtId="0" fontId="106" fillId="0" borderId="14" xfId="324" applyFont="1" applyBorder="1"/>
    <xf numFmtId="49" fontId="106" fillId="0" borderId="14" xfId="324" applyNumberFormat="1" applyFont="1" applyBorder="1" applyAlignment="1">
      <alignment horizontal="right"/>
    </xf>
    <xf numFmtId="184" fontId="106" fillId="0" borderId="29" xfId="324" applyNumberFormat="1" applyFont="1" applyBorder="1" applyAlignment="1">
      <alignment horizontal="left"/>
    </xf>
    <xf numFmtId="0" fontId="7" fillId="0" borderId="92" xfId="324" applyFont="1" applyBorder="1"/>
    <xf numFmtId="0" fontId="106" fillId="0" borderId="0" xfId="324" applyFont="1"/>
    <xf numFmtId="49" fontId="109" fillId="0" borderId="0" xfId="324" applyNumberFormat="1" applyFont="1" applyAlignment="1">
      <alignment horizontal="right"/>
    </xf>
    <xf numFmtId="0" fontId="107" fillId="0" borderId="0" xfId="324" applyFont="1"/>
    <xf numFmtId="0" fontId="106" fillId="0" borderId="0" xfId="324" applyFont="1" applyAlignment="1">
      <alignment horizontal="center"/>
    </xf>
    <xf numFmtId="49" fontId="106" fillId="0" borderId="0" xfId="324" applyNumberFormat="1" applyFont="1" applyAlignment="1">
      <alignment horizontal="right"/>
    </xf>
    <xf numFmtId="184" fontId="106" fillId="0" borderId="93" xfId="324" applyNumberFormat="1" applyFont="1" applyBorder="1" applyAlignment="1">
      <alignment horizontal="left"/>
    </xf>
    <xf numFmtId="0" fontId="7" fillId="0" borderId="27" xfId="324" applyFont="1" applyBorder="1"/>
    <xf numFmtId="0" fontId="106" fillId="0" borderId="22" xfId="324" applyFont="1" applyBorder="1"/>
    <xf numFmtId="49" fontId="109" fillId="0" borderId="22" xfId="324" applyNumberFormat="1" applyFont="1" applyBorder="1" applyAlignment="1">
      <alignment horizontal="right"/>
    </xf>
    <xf numFmtId="0" fontId="107" fillId="0" borderId="22" xfId="324" applyFont="1" applyBorder="1"/>
    <xf numFmtId="49" fontId="106" fillId="0" borderId="22" xfId="324" applyNumberFormat="1" applyFont="1" applyBorder="1" applyAlignment="1">
      <alignment horizontal="right"/>
    </xf>
    <xf numFmtId="184" fontId="106" fillId="0" borderId="30" xfId="324" applyNumberFormat="1" applyFont="1" applyBorder="1" applyAlignment="1">
      <alignment horizontal="left"/>
    </xf>
    <xf numFmtId="0" fontId="110" fillId="0" borderId="94" xfId="324" applyFont="1" applyBorder="1" applyAlignment="1">
      <alignment horizontal="center"/>
    </xf>
    <xf numFmtId="0" fontId="110" fillId="0" borderId="25" xfId="324" applyFont="1" applyBorder="1"/>
    <xf numFmtId="0" fontId="110" fillId="0" borderId="19" xfId="324" applyFont="1" applyBorder="1"/>
    <xf numFmtId="0" fontId="110" fillId="0" borderId="95" xfId="324" applyFont="1" applyBorder="1" applyAlignment="1">
      <alignment horizontal="center"/>
    </xf>
    <xf numFmtId="0" fontId="110" fillId="0" borderId="96" xfId="324" applyFont="1" applyBorder="1" applyAlignment="1">
      <alignment horizontal="center"/>
    </xf>
    <xf numFmtId="0" fontId="110" fillId="0" borderId="98" xfId="324" applyFont="1" applyBorder="1" applyAlignment="1">
      <alignment horizontal="center"/>
    </xf>
    <xf numFmtId="0" fontId="102" fillId="0" borderId="0" xfId="324" applyFont="1"/>
    <xf numFmtId="0" fontId="110" fillId="0" borderId="13" xfId="324" applyFont="1" applyBorder="1" applyAlignment="1">
      <alignment horizontal="center"/>
    </xf>
    <xf numFmtId="0" fontId="110" fillId="0" borderId="100" xfId="324" applyFont="1" applyBorder="1" applyAlignment="1">
      <alignment horizontal="center"/>
    </xf>
    <xf numFmtId="0" fontId="110" fillId="0" borderId="101" xfId="324" applyFont="1" applyBorder="1" applyAlignment="1">
      <alignment horizontal="center"/>
    </xf>
    <xf numFmtId="0" fontId="110" fillId="0" borderId="102" xfId="324" applyFont="1" applyBorder="1" applyAlignment="1">
      <alignment horizontal="center"/>
    </xf>
    <xf numFmtId="0" fontId="110" fillId="0" borderId="20" xfId="324" applyFont="1" applyBorder="1" applyAlignment="1">
      <alignment horizontal="center"/>
    </xf>
    <xf numFmtId="0" fontId="110" fillId="0" borderId="21" xfId="324" applyFont="1" applyBorder="1" applyAlignment="1">
      <alignment horizontal="center"/>
    </xf>
    <xf numFmtId="0" fontId="110" fillId="0" borderId="23" xfId="324" applyFont="1" applyBorder="1" applyAlignment="1">
      <alignment horizontal="center"/>
    </xf>
    <xf numFmtId="0" fontId="110" fillId="0" borderId="103" xfId="324" applyFont="1" applyBorder="1" applyAlignment="1">
      <alignment horizontal="center"/>
    </xf>
    <xf numFmtId="0" fontId="110" fillId="0" borderId="104" xfId="324" applyFont="1" applyBorder="1" applyAlignment="1">
      <alignment horizontal="center"/>
    </xf>
    <xf numFmtId="0" fontId="110" fillId="0" borderId="105" xfId="324" applyFont="1" applyBorder="1" applyAlignment="1">
      <alignment horizontal="center"/>
    </xf>
    <xf numFmtId="0" fontId="112" fillId="0" borderId="51" xfId="324" applyFont="1" applyBorder="1" applyAlignment="1">
      <alignment horizontal="left"/>
    </xf>
    <xf numFmtId="166" fontId="106" fillId="0" borderId="52" xfId="325" applyFont="1" applyFill="1" applyBorder="1" applyAlignment="1">
      <alignment horizontal="center"/>
    </xf>
    <xf numFmtId="166" fontId="106" fillId="0" borderId="53" xfId="325" applyFont="1" applyFill="1" applyBorder="1" applyAlignment="1"/>
    <xf numFmtId="0" fontId="106" fillId="0" borderId="48" xfId="324" applyFont="1" applyBorder="1" applyAlignment="1">
      <alignment horizontal="center"/>
    </xf>
    <xf numFmtId="0" fontId="106" fillId="0" borderId="49" xfId="324" quotePrefix="1" applyFont="1" applyBorder="1" applyAlignment="1">
      <alignment horizontal="right"/>
    </xf>
    <xf numFmtId="0" fontId="106" fillId="0" borderId="51" xfId="324" quotePrefix="1" applyFont="1" applyBorder="1" applyAlignment="1">
      <alignment horizontal="left"/>
    </xf>
    <xf numFmtId="166" fontId="21" fillId="0" borderId="53" xfId="325" quotePrefix="1" applyFont="1" applyFill="1" applyBorder="1" applyAlignment="1">
      <alignment horizontal="center"/>
    </xf>
    <xf numFmtId="166" fontId="112" fillId="0" borderId="52" xfId="325" applyFont="1" applyFill="1" applyBorder="1" applyAlignment="1"/>
    <xf numFmtId="2" fontId="106" fillId="0" borderId="48" xfId="324" applyNumberFormat="1" applyFont="1" applyBorder="1" applyAlignment="1">
      <alignment horizontal="center"/>
    </xf>
    <xf numFmtId="0" fontId="106" fillId="0" borderId="66" xfId="324" applyFont="1" applyBorder="1" applyAlignment="1">
      <alignment horizontal="center"/>
    </xf>
    <xf numFmtId="0" fontId="106" fillId="0" borderId="55" xfId="324" applyFont="1" applyBorder="1" applyAlignment="1">
      <alignment horizontal="left"/>
    </xf>
    <xf numFmtId="0" fontId="106" fillId="0" borderId="57" xfId="324" quotePrefix="1" applyFont="1" applyBorder="1" applyAlignment="1">
      <alignment horizontal="left"/>
    </xf>
    <xf numFmtId="166" fontId="92" fillId="0" borderId="58" xfId="325" applyFont="1" applyFill="1" applyBorder="1" applyAlignment="1">
      <alignment horizontal="center"/>
    </xf>
    <xf numFmtId="166" fontId="106" fillId="0" borderId="58" xfId="325" applyFont="1" applyFill="1" applyBorder="1" applyAlignment="1">
      <alignment horizontal="center"/>
    </xf>
    <xf numFmtId="166" fontId="92" fillId="0" borderId="58" xfId="325" applyFont="1" applyFill="1" applyBorder="1" applyAlignment="1"/>
    <xf numFmtId="166" fontId="106" fillId="0" borderId="58" xfId="325" applyFont="1" applyFill="1" applyBorder="1" applyAlignment="1"/>
    <xf numFmtId="166" fontId="106" fillId="0" borderId="59" xfId="325" applyFont="1" applyFill="1" applyBorder="1" applyAlignment="1"/>
    <xf numFmtId="0" fontId="115" fillId="0" borderId="0" xfId="324" applyFont="1"/>
    <xf numFmtId="0" fontId="110" fillId="0" borderId="4" xfId="324" applyFont="1" applyBorder="1" applyAlignment="1">
      <alignment horizontal="center"/>
    </xf>
    <xf numFmtId="185" fontId="110" fillId="0" borderId="106" xfId="324" applyNumberFormat="1" applyFont="1" applyBorder="1"/>
    <xf numFmtId="185" fontId="110" fillId="0" borderId="24" xfId="324" applyNumberFormat="1" applyFont="1" applyBorder="1"/>
    <xf numFmtId="185" fontId="110" fillId="0" borderId="107" xfId="324" applyNumberFormat="1" applyFont="1" applyBorder="1"/>
    <xf numFmtId="0" fontId="106" fillId="0" borderId="108" xfId="324" applyFont="1" applyBorder="1" applyAlignment="1">
      <alignment horizontal="center"/>
    </xf>
    <xf numFmtId="185" fontId="106" fillId="0" borderId="109" xfId="324" applyNumberFormat="1" applyFont="1" applyBorder="1"/>
    <xf numFmtId="185" fontId="106" fillId="0" borderId="32" xfId="324" applyNumberFormat="1" applyFont="1" applyBorder="1"/>
    <xf numFmtId="185" fontId="106" fillId="0" borderId="33" xfId="324" applyNumberFormat="1" applyFont="1" applyBorder="1"/>
    <xf numFmtId="185" fontId="110" fillId="0" borderId="32" xfId="324" applyNumberFormat="1" applyFont="1" applyBorder="1"/>
    <xf numFmtId="0" fontId="106" fillId="0" borderId="110" xfId="324" applyFont="1" applyBorder="1"/>
    <xf numFmtId="43" fontId="103" fillId="0" borderId="0" xfId="1" applyFont="1" applyFill="1"/>
    <xf numFmtId="0" fontId="110" fillId="25" borderId="48" xfId="324" applyFont="1" applyFill="1" applyBorder="1" applyAlignment="1">
      <alignment horizontal="center"/>
    </xf>
    <xf numFmtId="0" fontId="111" fillId="25" borderId="49" xfId="324" applyFont="1" applyFill="1" applyBorder="1" applyAlignment="1">
      <alignment horizontal="left"/>
    </xf>
    <xf numFmtId="166" fontId="113" fillId="25" borderId="52" xfId="325" applyFont="1" applyFill="1" applyBorder="1" applyAlignment="1">
      <alignment horizontal="center"/>
    </xf>
    <xf numFmtId="166" fontId="114" fillId="25" borderId="52" xfId="325" applyFont="1" applyFill="1" applyBorder="1" applyAlignment="1">
      <alignment horizontal="center"/>
    </xf>
    <xf numFmtId="166" fontId="110" fillId="25" borderId="53" xfId="325" applyFont="1" applyFill="1" applyBorder="1" applyAlignment="1"/>
    <xf numFmtId="0" fontId="111" fillId="25" borderId="51" xfId="324" applyFont="1" applyFill="1" applyBorder="1" applyAlignment="1">
      <alignment horizontal="left"/>
    </xf>
    <xf numFmtId="166" fontId="113" fillId="25" borderId="52" xfId="325" applyFont="1" applyFill="1" applyBorder="1" applyAlignment="1"/>
    <xf numFmtId="166" fontId="113" fillId="25" borderId="53" xfId="325" quotePrefix="1" applyFont="1" applyFill="1" applyBorder="1" applyAlignment="1">
      <alignment horizontal="center"/>
    </xf>
    <xf numFmtId="166" fontId="21" fillId="25" borderId="53" xfId="325" quotePrefix="1" applyFont="1" applyFill="1" applyBorder="1" applyAlignment="1">
      <alignment horizontal="center"/>
    </xf>
    <xf numFmtId="166" fontId="93" fillId="25" borderId="52" xfId="325" applyFont="1" applyFill="1" applyBorder="1" applyAlignment="1"/>
    <xf numFmtId="166" fontId="93" fillId="25" borderId="52" xfId="325" applyFont="1" applyFill="1" applyBorder="1" applyAlignment="1">
      <alignment horizontal="center"/>
    </xf>
    <xf numFmtId="166" fontId="110" fillId="25" borderId="52" xfId="325" applyFont="1" applyFill="1" applyBorder="1" applyAlignment="1"/>
    <xf numFmtId="166" fontId="117" fillId="25" borderId="52" xfId="325" applyFont="1" applyFill="1" applyBorder="1" applyAlignment="1">
      <alignment horizontal="center"/>
    </xf>
    <xf numFmtId="43" fontId="7" fillId="2" borderId="52" xfId="1" applyFont="1" applyFill="1" applyBorder="1" applyAlignment="1">
      <alignment horizontal="center" vertical="center"/>
    </xf>
    <xf numFmtId="43" fontId="7" fillId="2" borderId="52" xfId="1" applyFont="1" applyFill="1" applyBorder="1" applyAlignment="1">
      <alignment horizontal="center" vertical="center" wrapText="1"/>
    </xf>
    <xf numFmtId="43" fontId="6" fillId="2" borderId="63" xfId="1" applyFont="1" applyFill="1" applyBorder="1" applyAlignment="1">
      <alignment horizontal="center" vertical="center" wrapText="1"/>
    </xf>
    <xf numFmtId="43" fontId="102" fillId="2" borderId="124" xfId="1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vertical="top"/>
    </xf>
    <xf numFmtId="0" fontId="6" fillId="2" borderId="50" xfId="0" applyFont="1" applyFill="1" applyBorder="1" applyAlignment="1">
      <alignment vertical="top" wrapText="1"/>
    </xf>
    <xf numFmtId="0" fontId="102" fillId="0" borderId="48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4" fontId="6" fillId="0" borderId="52" xfId="1" applyNumberFormat="1" applyFont="1" applyFill="1" applyBorder="1" applyAlignment="1">
      <alignment horizontal="right" vertical="center"/>
    </xf>
    <xf numFmtId="43" fontId="6" fillId="0" borderId="52" xfId="1" applyFont="1" applyFill="1" applyBorder="1" applyAlignment="1">
      <alignment horizontal="right" vertical="center"/>
    </xf>
    <xf numFmtId="43" fontId="6" fillId="0" borderId="52" xfId="1" applyFont="1" applyFill="1" applyBorder="1" applyAlignment="1">
      <alignment horizontal="right"/>
    </xf>
    <xf numFmtId="43" fontId="6" fillId="0" borderId="49" xfId="1" applyFont="1" applyFill="1" applyBorder="1" applyAlignment="1">
      <alignment horizontal="right"/>
    </xf>
    <xf numFmtId="43" fontId="7" fillId="0" borderId="53" xfId="1" applyFont="1" applyFill="1" applyBorder="1" applyAlignment="1">
      <alignment horizontal="right" vertical="center"/>
    </xf>
    <xf numFmtId="0" fontId="102" fillId="2" borderId="49" xfId="0" applyFont="1" applyFill="1" applyBorder="1" applyAlignment="1">
      <alignment horizontal="left"/>
    </xf>
    <xf numFmtId="0" fontId="103" fillId="0" borderId="48" xfId="0" applyFont="1" applyBorder="1" applyAlignment="1">
      <alignment horizontal="center"/>
    </xf>
    <xf numFmtId="43" fontId="7" fillId="0" borderId="52" xfId="1" applyFont="1" applyFill="1" applyBorder="1" applyAlignment="1">
      <alignment horizontal="center"/>
    </xf>
    <xf numFmtId="0" fontId="7" fillId="0" borderId="52" xfId="0" applyFont="1" applyBorder="1" applyAlignment="1">
      <alignment horizontal="center"/>
    </xf>
    <xf numFmtId="4" fontId="7" fillId="0" borderId="52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43" fontId="7" fillId="2" borderId="17" xfId="1" applyFont="1" applyFill="1" applyBorder="1" applyAlignment="1">
      <alignment vertical="top"/>
    </xf>
    <xf numFmtId="43" fontId="7" fillId="2" borderId="64" xfId="1" applyFont="1" applyFill="1" applyBorder="1" applyAlignment="1">
      <alignment vertical="top"/>
    </xf>
    <xf numFmtId="43" fontId="7" fillId="2" borderId="17" xfId="1" applyFont="1" applyFill="1" applyBorder="1" applyAlignment="1">
      <alignment vertical="top" wrapText="1"/>
    </xf>
    <xf numFmtId="168" fontId="6" fillId="2" borderId="49" xfId="1" applyNumberFormat="1" applyFont="1" applyFill="1" applyBorder="1" applyAlignment="1">
      <alignment horizontal="left" vertical="top"/>
    </xf>
    <xf numFmtId="168" fontId="6" fillId="2" borderId="48" xfId="1" applyNumberFormat="1" applyFont="1" applyFill="1" applyBorder="1" applyAlignment="1">
      <alignment horizontal="center" vertical="top"/>
    </xf>
    <xf numFmtId="43" fontId="6" fillId="2" borderId="49" xfId="1" applyFont="1" applyFill="1" applyBorder="1" applyAlignment="1">
      <alignment horizontal="left" vertical="top"/>
    </xf>
    <xf numFmtId="43" fontId="7" fillId="2" borderId="50" xfId="1" applyFont="1" applyFill="1" applyBorder="1" applyAlignment="1">
      <alignment horizontal="left" vertical="top"/>
    </xf>
    <xf numFmtId="43" fontId="6" fillId="2" borderId="50" xfId="1" quotePrefix="1" applyFont="1" applyFill="1" applyBorder="1" applyAlignment="1">
      <alignment horizontal="left" vertical="top"/>
    </xf>
    <xf numFmtId="0" fontId="118" fillId="2" borderId="0" xfId="0" applyFont="1" applyFill="1" applyAlignment="1">
      <alignment vertical="center"/>
    </xf>
    <xf numFmtId="0" fontId="119" fillId="2" borderId="0" xfId="0" applyFont="1" applyFill="1"/>
    <xf numFmtId="0" fontId="17" fillId="2" borderId="14" xfId="2" applyFont="1" applyFill="1" applyBorder="1" applyAlignment="1">
      <alignment horizontal="center" vertical="center"/>
    </xf>
    <xf numFmtId="0" fontId="17" fillId="2" borderId="88" xfId="2" applyFont="1" applyFill="1" applyBorder="1" applyAlignment="1">
      <alignment horizontal="center" vertical="center"/>
    </xf>
    <xf numFmtId="0" fontId="120" fillId="2" borderId="0" xfId="2" applyFont="1" applyFill="1" applyAlignment="1">
      <alignment horizontal="center" vertical="center"/>
    </xf>
    <xf numFmtId="4" fontId="9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4" fontId="8" fillId="2" borderId="0" xfId="1" applyNumberFormat="1" applyFont="1" applyFill="1" applyBorder="1" applyAlignment="1">
      <alignment horizontal="right" vertical="center"/>
    </xf>
    <xf numFmtId="43" fontId="8" fillId="2" borderId="0" xfId="0" applyNumberFormat="1" applyFont="1" applyFill="1" applyAlignment="1">
      <alignment vertical="center"/>
    </xf>
    <xf numFmtId="43" fontId="8" fillId="2" borderId="49" xfId="1" applyFont="1" applyFill="1" applyBorder="1" applyAlignment="1">
      <alignment horizontal="center" vertical="center"/>
    </xf>
    <xf numFmtId="0" fontId="119" fillId="2" borderId="0" xfId="0" applyFont="1" applyFill="1" applyAlignment="1">
      <alignment horizontal="center" vertical="center"/>
    </xf>
    <xf numFmtId="43" fontId="17" fillId="2" borderId="0" xfId="1" applyFont="1" applyFill="1" applyBorder="1" applyAlignment="1">
      <alignment vertical="center"/>
    </xf>
    <xf numFmtId="0" fontId="119" fillId="2" borderId="0" xfId="0" applyFont="1" applyFill="1" applyAlignment="1">
      <alignment horizontal="center" vertical="center" wrapText="1"/>
    </xf>
    <xf numFmtId="43" fontId="8" fillId="2" borderId="0" xfId="1" applyFont="1" applyFill="1" applyBorder="1" applyAlignment="1">
      <alignment vertical="center" wrapText="1"/>
    </xf>
    <xf numFmtId="0" fontId="81" fillId="2" borderId="0" xfId="0" applyFont="1" applyFill="1" applyAlignment="1">
      <alignment vertical="center" wrapText="1"/>
    </xf>
    <xf numFmtId="0" fontId="9" fillId="2" borderId="112" xfId="0" applyFont="1" applyFill="1" applyBorder="1" applyAlignment="1">
      <alignment horizontal="center" vertical="center"/>
    </xf>
    <xf numFmtId="0" fontId="8" fillId="2" borderId="113" xfId="0" applyFont="1" applyFill="1" applyBorder="1" applyAlignment="1">
      <alignment horizontal="center" vertical="center"/>
    </xf>
    <xf numFmtId="0" fontId="8" fillId="2" borderId="114" xfId="0" applyFont="1" applyFill="1" applyBorder="1" applyAlignment="1">
      <alignment horizontal="center" vertical="center"/>
    </xf>
    <xf numFmtId="0" fontId="8" fillId="2" borderId="115" xfId="0" applyFont="1" applyFill="1" applyBorder="1" applyAlignment="1">
      <alignment vertical="center" wrapText="1"/>
    </xf>
    <xf numFmtId="43" fontId="8" fillId="2" borderId="113" xfId="1" applyFont="1" applyFill="1" applyBorder="1" applyAlignment="1">
      <alignment horizontal="center" vertical="center"/>
    </xf>
    <xf numFmtId="4" fontId="17" fillId="2" borderId="87" xfId="2" applyNumberFormat="1" applyFont="1" applyFill="1" applyBorder="1" applyAlignment="1">
      <alignment horizontal="center" vertical="center"/>
    </xf>
    <xf numFmtId="4" fontId="17" fillId="2" borderId="91" xfId="2" applyNumberFormat="1" applyFont="1" applyFill="1" applyBorder="1" applyAlignment="1">
      <alignment horizontal="center" vertical="center"/>
    </xf>
    <xf numFmtId="43" fontId="17" fillId="2" borderId="18" xfId="1" applyFont="1" applyFill="1" applyBorder="1" applyAlignment="1">
      <alignment horizontal="center" vertical="center"/>
    </xf>
    <xf numFmtId="4" fontId="17" fillId="2" borderId="18" xfId="2" applyNumberFormat="1" applyFont="1" applyFill="1" applyBorder="1" applyAlignment="1">
      <alignment horizontal="center" vertical="center"/>
    </xf>
    <xf numFmtId="4" fontId="17" fillId="2" borderId="16" xfId="2" applyNumberFormat="1" applyFont="1" applyFill="1" applyBorder="1" applyAlignment="1">
      <alignment horizontal="center" vertical="center"/>
    </xf>
    <xf numFmtId="43" fontId="17" fillId="2" borderId="128" xfId="1" applyFont="1" applyFill="1" applyBorder="1" applyAlignment="1">
      <alignment horizontal="center" vertical="center"/>
    </xf>
    <xf numFmtId="4" fontId="17" fillId="2" borderId="128" xfId="2" applyNumberFormat="1" applyFont="1" applyFill="1" applyBorder="1" applyAlignment="1">
      <alignment horizontal="center" vertical="center"/>
    </xf>
    <xf numFmtId="4" fontId="17" fillId="2" borderId="129" xfId="2" applyNumberFormat="1" applyFont="1" applyFill="1" applyBorder="1" applyAlignment="1">
      <alignment horizontal="center" vertical="center"/>
    </xf>
    <xf numFmtId="0" fontId="17" fillId="2" borderId="130" xfId="0" applyFont="1" applyFill="1" applyBorder="1" applyAlignment="1">
      <alignment horizontal="center" vertical="center"/>
    </xf>
    <xf numFmtId="43" fontId="121" fillId="2" borderId="134" xfId="1" applyFont="1" applyFill="1" applyBorder="1" applyAlignment="1">
      <alignment horizontal="center" vertical="center"/>
    </xf>
    <xf numFmtId="43" fontId="8" fillId="2" borderId="52" xfId="1" applyFont="1" applyFill="1" applyBorder="1" applyAlignment="1">
      <alignment horizontal="center" vertical="center"/>
    </xf>
    <xf numFmtId="43" fontId="8" fillId="2" borderId="52" xfId="1" applyFont="1" applyFill="1" applyBorder="1" applyAlignment="1">
      <alignment horizontal="right" vertical="center"/>
    </xf>
    <xf numFmtId="43" fontId="8" fillId="2" borderId="49" xfId="1" applyFont="1" applyFill="1" applyBorder="1" applyAlignment="1">
      <alignment horizontal="right" vertical="center"/>
    </xf>
    <xf numFmtId="43" fontId="8" fillId="2" borderId="53" xfId="1" applyFont="1" applyFill="1" applyBorder="1" applyAlignment="1">
      <alignment horizontal="right" vertical="center"/>
    </xf>
    <xf numFmtId="43" fontId="119" fillId="2" borderId="51" xfId="1" applyFont="1" applyFill="1" applyBorder="1" applyAlignment="1">
      <alignment horizontal="left" vertical="center"/>
    </xf>
    <xf numFmtId="43" fontId="119" fillId="2" borderId="0" xfId="1" applyFont="1" applyFill="1" applyBorder="1" applyAlignment="1">
      <alignment horizontal="left" vertical="center"/>
    </xf>
    <xf numFmtId="0" fontId="121" fillId="2" borderId="51" xfId="0" applyFont="1" applyFill="1" applyBorder="1" applyAlignment="1">
      <alignment vertical="center" wrapText="1"/>
    </xf>
    <xf numFmtId="43" fontId="121" fillId="2" borderId="49" xfId="1" applyFont="1" applyFill="1" applyBorder="1" applyAlignment="1">
      <alignment horizontal="center" vertical="center"/>
    </xf>
    <xf numFmtId="43" fontId="121" fillId="2" borderId="52" xfId="1" applyFont="1" applyFill="1" applyBorder="1" applyAlignment="1">
      <alignment horizontal="right" vertical="center"/>
    </xf>
    <xf numFmtId="43" fontId="8" fillId="2" borderId="116" xfId="1" applyFont="1" applyFill="1" applyBorder="1" applyAlignment="1">
      <alignment horizontal="right" vertical="center"/>
    </xf>
    <xf numFmtId="43" fontId="8" fillId="2" borderId="113" xfId="1" applyFont="1" applyFill="1" applyBorder="1" applyAlignment="1">
      <alignment horizontal="right" vertical="center"/>
    </xf>
    <xf numFmtId="43" fontId="8" fillId="2" borderId="117" xfId="1" applyFont="1" applyFill="1" applyBorder="1" applyAlignment="1">
      <alignment horizontal="right" vertical="center"/>
    </xf>
    <xf numFmtId="43" fontId="81" fillId="2" borderId="75" xfId="1" applyFont="1" applyFill="1" applyBorder="1" applyAlignment="1">
      <alignment vertical="center"/>
    </xf>
    <xf numFmtId="43" fontId="88" fillId="2" borderId="75" xfId="1" applyFont="1" applyFill="1" applyBorder="1" applyAlignment="1">
      <alignment horizontal="right" vertical="center"/>
    </xf>
    <xf numFmtId="43" fontId="81" fillId="2" borderId="0" xfId="1" applyFont="1" applyFill="1" applyAlignment="1">
      <alignment vertical="center"/>
    </xf>
    <xf numFmtId="4" fontId="81" fillId="2" borderId="0" xfId="0" applyNumberFormat="1" applyFont="1" applyFill="1" applyAlignment="1">
      <alignment vertical="center"/>
    </xf>
    <xf numFmtId="4" fontId="17" fillId="2" borderId="137" xfId="2" applyNumberFormat="1" applyFont="1" applyFill="1" applyBorder="1" applyAlignment="1">
      <alignment horizontal="center" vertical="center"/>
    </xf>
    <xf numFmtId="43" fontId="17" fillId="2" borderId="88" xfId="1" applyFont="1" applyFill="1" applyBorder="1" applyAlignment="1">
      <alignment horizontal="center" vertical="center" wrapText="1"/>
    </xf>
    <xf numFmtId="0" fontId="17" fillId="2" borderId="130" xfId="0" applyFont="1" applyFill="1" applyBorder="1" applyAlignment="1">
      <alignment horizontal="center" vertical="top"/>
    </xf>
    <xf numFmtId="0" fontId="17" fillId="2" borderId="131" xfId="0" applyFont="1" applyFill="1" applyBorder="1" applyAlignment="1">
      <alignment horizontal="left" vertical="top"/>
    </xf>
    <xf numFmtId="0" fontId="121" fillId="2" borderId="132" xfId="0" applyFont="1" applyFill="1" applyBorder="1" applyAlignment="1">
      <alignment horizontal="center" vertical="top"/>
    </xf>
    <xf numFmtId="0" fontId="121" fillId="2" borderId="133" xfId="0" applyFont="1" applyFill="1" applyBorder="1" applyAlignment="1">
      <alignment vertical="top" wrapText="1"/>
    </xf>
    <xf numFmtId="43" fontId="121" fillId="2" borderId="134" xfId="1" applyFont="1" applyFill="1" applyBorder="1" applyAlignment="1">
      <alignment horizontal="center" vertical="top"/>
    </xf>
    <xf numFmtId="43" fontId="121" fillId="2" borderId="134" xfId="1" applyFont="1" applyFill="1" applyBorder="1" applyAlignment="1">
      <alignment horizontal="right" vertical="top"/>
    </xf>
    <xf numFmtId="43" fontId="17" fillId="2" borderId="134" xfId="1" applyFont="1" applyFill="1" applyBorder="1" applyAlignment="1">
      <alignment horizontal="right" vertical="top"/>
    </xf>
    <xf numFmtId="43" fontId="17" fillId="2" borderId="131" xfId="1" applyFont="1" applyFill="1" applyBorder="1" applyAlignment="1">
      <alignment horizontal="right" vertical="top"/>
    </xf>
    <xf numFmtId="43" fontId="17" fillId="2" borderId="135" xfId="1" applyFont="1" applyFill="1" applyBorder="1" applyAlignment="1">
      <alignment horizontal="right" vertical="top"/>
    </xf>
    <xf numFmtId="0" fontId="9" fillId="2" borderId="48" xfId="0" applyFont="1" applyFill="1" applyBorder="1" applyAlignment="1">
      <alignment horizontal="center" vertical="top"/>
    </xf>
    <xf numFmtId="0" fontId="8" fillId="2" borderId="49" xfId="0" applyFont="1" applyFill="1" applyBorder="1" applyAlignment="1">
      <alignment horizontal="center" vertical="top"/>
    </xf>
    <xf numFmtId="0" fontId="8" fillId="2" borderId="51" xfId="0" applyFont="1" applyFill="1" applyBorder="1" applyAlignment="1">
      <alignment vertical="top" wrapText="1"/>
    </xf>
    <xf numFmtId="0" fontId="8" fillId="2" borderId="50" xfId="0" applyFont="1" applyFill="1" applyBorder="1" applyAlignment="1">
      <alignment vertical="top"/>
    </xf>
    <xf numFmtId="0" fontId="8" fillId="2" borderId="52" xfId="0" applyFont="1" applyFill="1" applyBorder="1" applyAlignment="1">
      <alignment vertical="top"/>
    </xf>
    <xf numFmtId="0" fontId="8" fillId="2" borderId="49" xfId="0" applyFont="1" applyFill="1" applyBorder="1" applyAlignment="1">
      <alignment vertical="top"/>
    </xf>
    <xf numFmtId="0" fontId="8" fillId="2" borderId="53" xfId="0" applyFont="1" applyFill="1" applyBorder="1" applyAlignment="1">
      <alignment vertical="top"/>
    </xf>
    <xf numFmtId="43" fontId="8" fillId="2" borderId="52" xfId="1" applyFont="1" applyFill="1" applyBorder="1" applyAlignment="1">
      <alignment horizontal="center" vertical="top"/>
    </xf>
    <xf numFmtId="43" fontId="8" fillId="2" borderId="52" xfId="1" applyFont="1" applyFill="1" applyBorder="1" applyAlignment="1">
      <alignment horizontal="right" vertical="top"/>
    </xf>
    <xf numFmtId="43" fontId="8" fillId="2" borderId="49" xfId="1" applyFont="1" applyFill="1" applyBorder="1" applyAlignment="1">
      <alignment horizontal="right" vertical="top"/>
    </xf>
    <xf numFmtId="43" fontId="8" fillId="2" borderId="53" xfId="1" applyFont="1" applyFill="1" applyBorder="1" applyAlignment="1">
      <alignment horizontal="right" vertical="top"/>
    </xf>
    <xf numFmtId="0" fontId="17" fillId="2" borderId="48" xfId="0" applyFont="1" applyFill="1" applyBorder="1" applyAlignment="1">
      <alignment horizontal="center" vertical="top"/>
    </xf>
    <xf numFmtId="0" fontId="17" fillId="2" borderId="49" xfId="0" applyFont="1" applyFill="1" applyBorder="1" applyAlignment="1">
      <alignment horizontal="left" vertical="top"/>
    </xf>
    <xf numFmtId="0" fontId="121" fillId="2" borderId="50" xfId="0" applyFont="1" applyFill="1" applyBorder="1" applyAlignment="1">
      <alignment horizontal="center" vertical="top"/>
    </xf>
    <xf numFmtId="0" fontId="121" fillId="2" borderId="51" xfId="0" applyFont="1" applyFill="1" applyBorder="1" applyAlignment="1">
      <alignment vertical="top" wrapText="1"/>
    </xf>
    <xf numFmtId="43" fontId="121" fillId="2" borderId="52" xfId="1" applyFont="1" applyFill="1" applyBorder="1" applyAlignment="1">
      <alignment horizontal="center" vertical="top"/>
    </xf>
    <xf numFmtId="43" fontId="121" fillId="2" borderId="52" xfId="1" applyFont="1" applyFill="1" applyBorder="1" applyAlignment="1">
      <alignment horizontal="right" vertical="top"/>
    </xf>
    <xf numFmtId="43" fontId="17" fillId="2" borderId="52" xfId="1" applyFont="1" applyFill="1" applyBorder="1" applyAlignment="1">
      <alignment horizontal="right" vertical="top"/>
    </xf>
    <xf numFmtId="43" fontId="17" fillId="2" borderId="49" xfId="1" applyFont="1" applyFill="1" applyBorder="1" applyAlignment="1">
      <alignment horizontal="right" vertical="top"/>
    </xf>
    <xf numFmtId="43" fontId="17" fillId="2" borderId="53" xfId="1" applyFont="1" applyFill="1" applyBorder="1" applyAlignment="1">
      <alignment horizontal="right" vertical="top"/>
    </xf>
    <xf numFmtId="0" fontId="8" fillId="2" borderId="51" xfId="0" applyFont="1" applyFill="1" applyBorder="1" applyAlignment="1">
      <alignment vertical="top"/>
    </xf>
    <xf numFmtId="43" fontId="8" fillId="2" borderId="50" xfId="1" applyFont="1" applyFill="1" applyBorder="1" applyAlignment="1">
      <alignment horizontal="center" vertical="top"/>
    </xf>
    <xf numFmtId="43" fontId="121" fillId="2" borderId="50" xfId="1" applyFont="1" applyFill="1" applyBorder="1" applyAlignment="1">
      <alignment horizontal="center" vertical="top"/>
    </xf>
    <xf numFmtId="43" fontId="8" fillId="2" borderId="114" xfId="1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top"/>
    </xf>
    <xf numFmtId="0" fontId="9" fillId="2" borderId="50" xfId="0" applyFont="1" applyFill="1" applyBorder="1" applyAlignment="1">
      <alignment vertical="top" wrapText="1"/>
    </xf>
    <xf numFmtId="0" fontId="9" fillId="2" borderId="50" xfId="0" applyFont="1" applyFill="1" applyBorder="1" applyAlignment="1">
      <alignment vertical="top"/>
    </xf>
    <xf numFmtId="0" fontId="8" fillId="2" borderId="51" xfId="0" applyFont="1" applyFill="1" applyBorder="1" applyAlignment="1">
      <alignment vertical="center"/>
    </xf>
    <xf numFmtId="43" fontId="121" fillId="2" borderId="132" xfId="1" applyFont="1" applyFill="1" applyBorder="1" applyAlignment="1">
      <alignment horizontal="center" vertical="top"/>
    </xf>
    <xf numFmtId="43" fontId="81" fillId="2" borderId="136" xfId="1" applyFont="1" applyFill="1" applyBorder="1" applyAlignment="1">
      <alignment vertical="center"/>
    </xf>
    <xf numFmtId="43" fontId="81" fillId="2" borderId="75" xfId="1" applyFont="1" applyFill="1" applyBorder="1" applyAlignment="1">
      <alignment horizontal="center" vertical="center"/>
    </xf>
    <xf numFmtId="43" fontId="81" fillId="2" borderId="75" xfId="1" applyFont="1" applyFill="1" applyBorder="1" applyAlignment="1">
      <alignment vertical="center" wrapText="1"/>
    </xf>
    <xf numFmtId="43" fontId="118" fillId="2" borderId="0" xfId="1" applyFont="1" applyFill="1" applyAlignment="1">
      <alignment vertical="center"/>
    </xf>
    <xf numFmtId="43" fontId="88" fillId="2" borderId="121" xfId="1" applyFont="1" applyFill="1" applyBorder="1" applyAlignment="1">
      <alignment vertical="center"/>
    </xf>
    <xf numFmtId="43" fontId="88" fillId="2" borderId="124" xfId="1" applyFont="1" applyFill="1" applyBorder="1" applyAlignment="1">
      <alignment vertical="center"/>
    </xf>
    <xf numFmtId="43" fontId="88" fillId="2" borderId="122" xfId="1" applyFont="1" applyFill="1" applyBorder="1" applyAlignment="1">
      <alignment vertical="center"/>
    </xf>
    <xf numFmtId="43" fontId="88" fillId="2" borderId="125" xfId="1" applyFont="1" applyFill="1" applyBorder="1" applyAlignment="1">
      <alignment vertical="center"/>
    </xf>
    <xf numFmtId="4" fontId="104" fillId="2" borderId="88" xfId="2" applyNumberFormat="1" applyFont="1" applyFill="1" applyBorder="1" applyAlignment="1">
      <alignment horizontal="centerContinuous"/>
    </xf>
    <xf numFmtId="4" fontId="104" fillId="2" borderId="18" xfId="2" applyNumberFormat="1" applyFont="1" applyFill="1" applyBorder="1" applyAlignment="1">
      <alignment horizontal="center"/>
    </xf>
    <xf numFmtId="4" fontId="104" fillId="2" borderId="19" xfId="2" applyNumberFormat="1" applyFont="1" applyFill="1" applyBorder="1" applyAlignment="1">
      <alignment horizontal="center"/>
    </xf>
    <xf numFmtId="4" fontId="104" fillId="2" borderId="128" xfId="2" applyNumberFormat="1" applyFont="1" applyFill="1" applyBorder="1" applyAlignment="1">
      <alignment horizontal="center"/>
    </xf>
    <xf numFmtId="4" fontId="104" fillId="2" borderId="12" xfId="2" applyNumberFormat="1" applyFont="1" applyFill="1" applyBorder="1" applyAlignment="1">
      <alignment horizontal="center"/>
    </xf>
    <xf numFmtId="4" fontId="104" fillId="2" borderId="129" xfId="2" applyNumberFormat="1" applyFont="1" applyFill="1" applyBorder="1" applyAlignment="1">
      <alignment horizontal="center"/>
    </xf>
    <xf numFmtId="4" fontId="104" fillId="2" borderId="14" xfId="2" applyNumberFormat="1" applyFont="1" applyFill="1" applyBorder="1" applyAlignment="1">
      <alignment horizontal="centerContinuous"/>
    </xf>
    <xf numFmtId="4" fontId="104" fillId="2" borderId="0" xfId="2" applyNumberFormat="1" applyFont="1" applyFill="1" applyAlignment="1">
      <alignment horizontal="center"/>
    </xf>
    <xf numFmtId="0" fontId="127" fillId="2" borderId="0" xfId="0" applyFont="1" applyFill="1"/>
    <xf numFmtId="4" fontId="127" fillId="2" borderId="0" xfId="0" applyNumberFormat="1" applyFont="1" applyFill="1"/>
    <xf numFmtId="43" fontId="127" fillId="2" borderId="0" xfId="0" applyNumberFormat="1" applyFont="1" applyFill="1"/>
    <xf numFmtId="0" fontId="93" fillId="2" borderId="48" xfId="6" applyFont="1" applyFill="1" applyBorder="1" applyAlignment="1">
      <alignment horizontal="center"/>
    </xf>
    <xf numFmtId="0" fontId="93" fillId="2" borderId="112" xfId="6" applyFont="1" applyFill="1" applyBorder="1" applyAlignment="1">
      <alignment horizontal="center"/>
    </xf>
    <xf numFmtId="0" fontId="97" fillId="2" borderId="114" xfId="6" applyFont="1" applyFill="1" applyBorder="1" applyAlignment="1">
      <alignment horizontal="left"/>
    </xf>
    <xf numFmtId="0" fontId="97" fillId="2" borderId="116" xfId="6" applyFont="1" applyFill="1" applyBorder="1" applyAlignment="1">
      <alignment horizontal="center"/>
    </xf>
    <xf numFmtId="40" fontId="97" fillId="2" borderId="116" xfId="4" applyFont="1" applyFill="1" applyBorder="1"/>
    <xf numFmtId="4" fontId="97" fillId="2" borderId="117" xfId="4" applyNumberFormat="1" applyFont="1" applyFill="1" applyBorder="1"/>
    <xf numFmtId="43" fontId="97" fillId="2" borderId="50" xfId="1" applyFont="1" applyFill="1" applyBorder="1" applyAlignment="1">
      <alignment vertical="top"/>
    </xf>
    <xf numFmtId="43" fontId="97" fillId="2" borderId="52" xfId="1" applyFont="1" applyFill="1" applyBorder="1" applyAlignment="1">
      <alignment horizontal="center" vertical="top"/>
    </xf>
    <xf numFmtId="43" fontId="97" fillId="2" borderId="52" xfId="1" applyFont="1" applyFill="1" applyBorder="1" applyAlignment="1">
      <alignment vertical="top"/>
    </xf>
    <xf numFmtId="43" fontId="129" fillId="2" borderId="52" xfId="1" applyFont="1" applyFill="1" applyBorder="1" applyAlignment="1">
      <alignment vertical="top"/>
    </xf>
    <xf numFmtId="43" fontId="96" fillId="2" borderId="53" xfId="1" applyFont="1" applyFill="1" applyBorder="1" applyAlignment="1">
      <alignment vertical="top"/>
    </xf>
    <xf numFmtId="43" fontId="97" fillId="2" borderId="53" xfId="1" applyFont="1" applyFill="1" applyBorder="1" applyAlignment="1">
      <alignment vertical="top"/>
    </xf>
    <xf numFmtId="43" fontId="93" fillId="2" borderId="50" xfId="1" applyFont="1" applyFill="1" applyBorder="1" applyAlignment="1">
      <alignment vertical="top"/>
    </xf>
    <xf numFmtId="43" fontId="97" fillId="2" borderId="50" xfId="1" applyFont="1" applyFill="1" applyBorder="1" applyAlignment="1">
      <alignment horizontal="left" vertical="top"/>
    </xf>
    <xf numFmtId="0" fontId="93" fillId="2" borderId="48" xfId="6" applyFont="1" applyFill="1" applyBorder="1"/>
    <xf numFmtId="0" fontId="93" fillId="2" borderId="48" xfId="6" applyFont="1" applyFill="1" applyBorder="1" applyAlignment="1">
      <alignment horizontal="left"/>
    </xf>
    <xf numFmtId="43" fontId="93" fillId="2" borderId="52" xfId="1" applyFont="1" applyFill="1" applyBorder="1" applyAlignment="1">
      <alignment vertical="top"/>
    </xf>
    <xf numFmtId="43" fontId="93" fillId="2" borderId="53" xfId="1" applyFont="1" applyFill="1" applyBorder="1" applyAlignment="1">
      <alignment vertical="top"/>
    </xf>
    <xf numFmtId="3" fontId="97" fillId="2" borderId="116" xfId="4" applyNumberFormat="1" applyFont="1" applyFill="1" applyBorder="1" applyAlignment="1">
      <alignment horizontal="center"/>
    </xf>
    <xf numFmtId="0" fontId="93" fillId="25" borderId="130" xfId="6" applyFont="1" applyFill="1" applyBorder="1" applyAlignment="1">
      <alignment horizontal="center"/>
    </xf>
    <xf numFmtId="43" fontId="128" fillId="25" borderId="132" xfId="1" applyFont="1" applyFill="1" applyBorder="1" applyAlignment="1">
      <alignment horizontal="left" vertical="top"/>
    </xf>
    <xf numFmtId="43" fontId="97" fillId="25" borderId="134" xfId="1" applyFont="1" applyFill="1" applyBorder="1" applyAlignment="1">
      <alignment horizontal="center" vertical="top"/>
    </xf>
    <xf numFmtId="43" fontId="97" fillId="25" borderId="134" xfId="1" applyFont="1" applyFill="1" applyBorder="1" applyAlignment="1">
      <alignment vertical="top"/>
    </xf>
    <xf numFmtId="43" fontId="129" fillId="25" borderId="134" xfId="1" applyFont="1" applyFill="1" applyBorder="1" applyAlignment="1">
      <alignment vertical="top"/>
    </xf>
    <xf numFmtId="43" fontId="96" fillId="25" borderId="135" xfId="1" applyFont="1" applyFill="1" applyBorder="1" applyAlignment="1">
      <alignment vertical="top"/>
    </xf>
    <xf numFmtId="0" fontId="128" fillId="25" borderId="48" xfId="6" applyFont="1" applyFill="1" applyBorder="1" applyAlignment="1">
      <alignment horizontal="center"/>
    </xf>
    <xf numFmtId="43" fontId="128" fillId="25" borderId="50" xfId="1" applyFont="1" applyFill="1" applyBorder="1" applyAlignment="1">
      <alignment vertical="top"/>
    </xf>
    <xf numFmtId="43" fontId="128" fillId="25" borderId="52" xfId="1" applyFont="1" applyFill="1" applyBorder="1" applyAlignment="1">
      <alignment vertical="top"/>
    </xf>
    <xf numFmtId="43" fontId="128" fillId="25" borderId="53" xfId="1" applyFont="1" applyFill="1" applyBorder="1" applyAlignment="1">
      <alignment vertical="top"/>
    </xf>
    <xf numFmtId="0" fontId="116" fillId="2" borderId="0" xfId="0" applyFont="1" applyFill="1"/>
    <xf numFmtId="0" fontId="128" fillId="2" borderId="0" xfId="0" applyFont="1" applyFill="1"/>
    <xf numFmtId="43" fontId="128" fillId="25" borderId="52" xfId="1" applyFont="1" applyFill="1" applyBorder="1" applyAlignment="1">
      <alignment horizontal="center" vertical="top"/>
    </xf>
    <xf numFmtId="0" fontId="97" fillId="2" borderId="16" xfId="6" applyFont="1" applyFill="1" applyBorder="1" applyAlignment="1">
      <alignment horizontal="center"/>
    </xf>
    <xf numFmtId="0" fontId="128" fillId="2" borderId="121" xfId="6" applyFont="1" applyFill="1" applyBorder="1" applyAlignment="1">
      <alignment horizontal="center"/>
    </xf>
    <xf numFmtId="0" fontId="128" fillId="2" borderId="122" xfId="0" applyFont="1" applyFill="1" applyBorder="1"/>
    <xf numFmtId="0" fontId="128" fillId="2" borderId="75" xfId="0" applyFont="1" applyFill="1" applyBorder="1"/>
    <xf numFmtId="0" fontId="128" fillId="2" borderId="123" xfId="0" applyFont="1" applyFill="1" applyBorder="1"/>
    <xf numFmtId="3" fontId="128" fillId="2" borderId="123" xfId="4" applyNumberFormat="1" applyFont="1" applyFill="1" applyBorder="1" applyAlignment="1">
      <alignment horizontal="center"/>
    </xf>
    <xf numFmtId="0" fontId="128" fillId="2" borderId="124" xfId="6" applyFont="1" applyFill="1" applyBorder="1" applyAlignment="1">
      <alignment horizontal="center"/>
    </xf>
    <xf numFmtId="40" fontId="128" fillId="2" borderId="124" xfId="4" applyFont="1" applyFill="1" applyBorder="1"/>
    <xf numFmtId="43" fontId="128" fillId="2" borderId="125" xfId="6" applyNumberFormat="1" applyFont="1" applyFill="1" applyBorder="1" applyAlignment="1">
      <alignment horizontal="center"/>
    </xf>
    <xf numFmtId="0" fontId="8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7" fillId="2" borderId="130" xfId="2" applyFont="1" applyFill="1" applyBorder="1" applyAlignment="1">
      <alignment horizontal="center" vertical="center"/>
    </xf>
    <xf numFmtId="0" fontId="17" fillId="2" borderId="132" xfId="2" applyFont="1" applyFill="1" applyBorder="1" applyAlignment="1">
      <alignment horizontal="center" vertical="center"/>
    </xf>
    <xf numFmtId="0" fontId="17" fillId="2" borderId="133" xfId="2" applyFont="1" applyFill="1" applyBorder="1" applyAlignment="1">
      <alignment horizontal="center" vertical="center"/>
    </xf>
    <xf numFmtId="0" fontId="17" fillId="2" borderId="134" xfId="2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133" fillId="2" borderId="0" xfId="2" applyFont="1" applyFill="1" applyAlignment="1">
      <alignment horizontal="center" vertical="center"/>
    </xf>
    <xf numFmtId="4" fontId="131" fillId="2" borderId="0" xfId="2" applyNumberFormat="1" applyFont="1" applyFill="1" applyAlignment="1">
      <alignment horizontal="center" vertical="center"/>
    </xf>
    <xf numFmtId="0" fontId="131" fillId="2" borderId="0" xfId="0" applyFont="1" applyFill="1" applyAlignment="1">
      <alignment horizontal="center" vertical="center"/>
    </xf>
    <xf numFmtId="0" fontId="134" fillId="2" borderId="0" xfId="0" applyFont="1" applyFill="1"/>
    <xf numFmtId="0" fontId="130" fillId="2" borderId="0" xfId="0" applyFont="1" applyFill="1" applyAlignment="1">
      <alignment horizontal="center"/>
    </xf>
    <xf numFmtId="0" fontId="30" fillId="2" borderId="114" xfId="0" applyFont="1" applyFill="1" applyBorder="1" applyAlignment="1">
      <alignment horizontal="center"/>
    </xf>
    <xf numFmtId="0" fontId="124" fillId="2" borderId="115" xfId="0" applyFont="1" applyFill="1" applyBorder="1" applyAlignment="1">
      <alignment vertical="center" wrapText="1"/>
    </xf>
    <xf numFmtId="9" fontId="25" fillId="2" borderId="114" xfId="0" applyNumberFormat="1" applyFont="1" applyFill="1" applyBorder="1" applyAlignment="1">
      <alignment vertical="center" wrapText="1"/>
    </xf>
    <xf numFmtId="0" fontId="130" fillId="2" borderId="0" xfId="0" applyFont="1" applyFill="1" applyAlignment="1">
      <alignment vertical="center" wrapText="1"/>
    </xf>
    <xf numFmtId="0" fontId="17" fillId="2" borderId="72" xfId="2" applyFont="1" applyFill="1" applyBorder="1" applyAlignment="1">
      <alignment horizontal="center" vertical="center"/>
    </xf>
    <xf numFmtId="0" fontId="17" fillId="2" borderId="62" xfId="2" applyFont="1" applyFill="1" applyBorder="1" applyAlignment="1">
      <alignment horizontal="center" vertical="center"/>
    </xf>
    <xf numFmtId="4" fontId="17" fillId="2" borderId="0" xfId="2" applyNumberFormat="1" applyFont="1" applyFill="1" applyAlignment="1">
      <alignment horizontal="center" vertical="center"/>
    </xf>
    <xf numFmtId="0" fontId="121" fillId="2" borderId="0" xfId="0" applyFont="1" applyFill="1" applyAlignment="1">
      <alignment horizontal="center" vertical="center"/>
    </xf>
    <xf numFmtId="0" fontId="121" fillId="2" borderId="50" xfId="0" applyFont="1" applyFill="1" applyBorder="1" applyAlignment="1">
      <alignment horizontal="left" vertical="center"/>
    </xf>
    <xf numFmtId="0" fontId="121" fillId="2" borderId="0" xfId="0" applyFont="1" applyFill="1" applyAlignment="1">
      <alignment vertical="center"/>
    </xf>
    <xf numFmtId="0" fontId="138" fillId="2" borderId="0" xfId="2" applyFont="1" applyFill="1" applyAlignment="1">
      <alignment horizontal="center" vertical="center"/>
    </xf>
    <xf numFmtId="0" fontId="121" fillId="2" borderId="49" xfId="0" applyFont="1" applyFill="1" applyBorder="1" applyAlignment="1">
      <alignment horizontal="left" vertical="center"/>
    </xf>
    <xf numFmtId="0" fontId="17" fillId="2" borderId="71" xfId="2" applyFont="1" applyFill="1" applyBorder="1" applyAlignment="1">
      <alignment horizontal="left" vertical="center"/>
    </xf>
    <xf numFmtId="0" fontId="121" fillId="2" borderId="50" xfId="0" quotePrefix="1" applyFont="1" applyFill="1" applyBorder="1" applyAlignment="1">
      <alignment horizontal="right" vertical="center"/>
    </xf>
    <xf numFmtId="4" fontId="4" fillId="2" borderId="2" xfId="0" applyNumberFormat="1" applyFont="1" applyFill="1" applyBorder="1"/>
    <xf numFmtId="4" fontId="4" fillId="2" borderId="36" xfId="0" applyNumberFormat="1" applyFont="1" applyFill="1" applyBorder="1"/>
    <xf numFmtId="4" fontId="17" fillId="2" borderId="41" xfId="2" applyNumberFormat="1" applyFont="1" applyFill="1" applyBorder="1" applyAlignment="1">
      <alignment horizontal="center" vertical="center"/>
    </xf>
    <xf numFmtId="4" fontId="17" fillId="2" borderId="15" xfId="2" applyNumberFormat="1" applyFont="1" applyFill="1" applyBorder="1" applyAlignment="1">
      <alignment horizontal="center" vertical="center"/>
    </xf>
    <xf numFmtId="43" fontId="17" fillId="2" borderId="134" xfId="1" applyFont="1" applyFill="1" applyBorder="1" applyAlignment="1">
      <alignment horizontal="center" vertical="center" wrapText="1"/>
    </xf>
    <xf numFmtId="43" fontId="17" fillId="2" borderId="134" xfId="1" applyFont="1" applyFill="1" applyBorder="1" applyAlignment="1">
      <alignment horizontal="center" vertical="center"/>
    </xf>
    <xf numFmtId="4" fontId="17" fillId="2" borderId="134" xfId="2" applyNumberFormat="1" applyFont="1" applyFill="1" applyBorder="1" applyAlignment="1">
      <alignment horizontal="center" vertical="center"/>
    </xf>
    <xf numFmtId="4" fontId="17" fillId="2" borderId="135" xfId="2" applyNumberFormat="1" applyFont="1" applyFill="1" applyBorder="1" applyAlignment="1">
      <alignment horizontal="center" vertical="center"/>
    </xf>
    <xf numFmtId="43" fontId="17" fillId="2" borderId="61" xfId="1" applyFont="1" applyFill="1" applyBorder="1" applyAlignment="1">
      <alignment horizontal="center" vertical="center" wrapText="1"/>
    </xf>
    <xf numFmtId="43" fontId="17" fillId="2" borderId="61" xfId="1" applyFont="1" applyFill="1" applyBorder="1" applyAlignment="1">
      <alignment horizontal="center" vertical="center"/>
    </xf>
    <xf numFmtId="4" fontId="17" fillId="2" borderId="61" xfId="2" applyNumberFormat="1" applyFont="1" applyFill="1" applyBorder="1" applyAlignment="1">
      <alignment horizontal="center" vertical="center"/>
    </xf>
    <xf numFmtId="4" fontId="17" fillId="2" borderId="73" xfId="2" applyNumberFormat="1" applyFont="1" applyFill="1" applyBorder="1" applyAlignment="1">
      <alignment horizontal="center" vertical="center"/>
    </xf>
    <xf numFmtId="43" fontId="103" fillId="2" borderId="52" xfId="1" applyFont="1" applyFill="1" applyBorder="1" applyAlignment="1">
      <alignment horizontal="center"/>
    </xf>
    <xf numFmtId="168" fontId="136" fillId="2" borderId="52" xfId="1" applyNumberFormat="1" applyFont="1" applyFill="1" applyBorder="1" applyAlignment="1">
      <alignment horizontal="right" vertical="center"/>
    </xf>
    <xf numFmtId="43" fontId="137" fillId="2" borderId="52" xfId="1" applyFont="1" applyFill="1" applyBorder="1" applyAlignment="1">
      <alignment horizontal="right" vertical="center"/>
    </xf>
    <xf numFmtId="4" fontId="17" fillId="2" borderId="53" xfId="1" applyNumberFormat="1" applyFont="1" applyFill="1" applyBorder="1" applyAlignment="1">
      <alignment horizontal="right" vertical="center"/>
    </xf>
    <xf numFmtId="0" fontId="121" fillId="2" borderId="51" xfId="0" quotePrefix="1" applyFont="1" applyFill="1" applyBorder="1"/>
    <xf numFmtId="43" fontId="121" fillId="2" borderId="53" xfId="1" applyFont="1" applyFill="1" applyBorder="1" applyAlignment="1">
      <alignment horizontal="right" vertical="center"/>
    </xf>
    <xf numFmtId="0" fontId="123" fillId="2" borderId="112" xfId="0" applyFont="1" applyFill="1" applyBorder="1" applyAlignment="1">
      <alignment horizontal="center" vertical="center"/>
    </xf>
    <xf numFmtId="0" fontId="17" fillId="2" borderId="113" xfId="0" applyFont="1" applyFill="1" applyBorder="1" applyAlignment="1">
      <alignment horizontal="left" vertical="center"/>
    </xf>
    <xf numFmtId="4" fontId="25" fillId="2" borderId="116" xfId="1" applyNumberFormat="1" applyFont="1" applyFill="1" applyBorder="1" applyAlignment="1">
      <alignment horizontal="right" vertical="center"/>
    </xf>
    <xf numFmtId="43" fontId="125" fillId="2" borderId="116" xfId="1" applyFont="1" applyFill="1" applyBorder="1" applyAlignment="1">
      <alignment horizontal="right" vertical="center"/>
    </xf>
    <xf numFmtId="168" fontId="25" fillId="2" borderId="116" xfId="1" applyNumberFormat="1" applyFont="1" applyFill="1" applyBorder="1" applyAlignment="1">
      <alignment horizontal="right" vertical="center"/>
    </xf>
    <xf numFmtId="43" fontId="122" fillId="2" borderId="116" xfId="1" applyFont="1" applyFill="1" applyBorder="1" applyAlignment="1">
      <alignment horizontal="right" vertical="center"/>
    </xf>
    <xf numFmtId="43" fontId="122" fillId="2" borderId="117" xfId="1" applyFont="1" applyFill="1" applyBorder="1" applyAlignment="1">
      <alignment horizontal="right" vertical="center"/>
    </xf>
    <xf numFmtId="43" fontId="25" fillId="2" borderId="0" xfId="1" applyFont="1" applyFill="1" applyBorder="1" applyAlignment="1">
      <alignment horizontal="right" vertical="center"/>
    </xf>
    <xf numFmtId="4" fontId="25" fillId="2" borderId="0" xfId="1" applyNumberFormat="1" applyFont="1" applyFill="1" applyBorder="1" applyAlignment="1">
      <alignment horizontal="right" vertical="center"/>
    </xf>
    <xf numFmtId="43" fontId="25" fillId="2" borderId="0" xfId="1" applyFont="1" applyFill="1" applyBorder="1" applyAlignment="1">
      <alignment horizontal="right"/>
    </xf>
    <xf numFmtId="3" fontId="126" fillId="2" borderId="0" xfId="1" applyNumberFormat="1" applyFont="1" applyFill="1" applyBorder="1" applyAlignment="1">
      <alignment horizontal="right" vertical="center"/>
    </xf>
    <xf numFmtId="0" fontId="130" fillId="2" borderId="0" xfId="0" applyFont="1" applyFill="1" applyAlignment="1">
      <alignment horizontal="center" vertical="center"/>
    </xf>
    <xf numFmtId="0" fontId="131" fillId="2" borderId="0" xfId="0" applyFont="1" applyFill="1" applyAlignment="1">
      <alignment horizontal="left" vertical="center"/>
    </xf>
    <xf numFmtId="43" fontId="135" fillId="2" borderId="122" xfId="1" applyFont="1" applyFill="1" applyBorder="1" applyAlignment="1">
      <alignment horizontal="right" vertical="center"/>
    </xf>
    <xf numFmtId="168" fontId="134" fillId="2" borderId="75" xfId="1" applyNumberFormat="1" applyFont="1" applyFill="1" applyBorder="1" applyAlignment="1">
      <alignment horizontal="right" vertical="center"/>
    </xf>
    <xf numFmtId="43" fontId="135" fillId="2" borderId="123" xfId="1" applyFont="1" applyFill="1" applyBorder="1" applyAlignment="1">
      <alignment horizontal="right" vertical="center"/>
    </xf>
    <xf numFmtId="43" fontId="135" fillId="2" borderId="124" xfId="1" applyFont="1" applyFill="1" applyBorder="1" applyAlignment="1">
      <alignment horizontal="right" vertical="center"/>
    </xf>
    <xf numFmtId="43" fontId="135" fillId="2" borderId="125" xfId="1" applyFont="1" applyFill="1" applyBorder="1" applyAlignment="1">
      <alignment horizontal="right" vertical="center"/>
    </xf>
    <xf numFmtId="43" fontId="134" fillId="2" borderId="0" xfId="1" applyFont="1" applyFill="1" applyBorder="1" applyAlignment="1">
      <alignment horizontal="right" vertical="center"/>
    </xf>
    <xf numFmtId="4" fontId="134" fillId="2" borderId="0" xfId="1" applyNumberFormat="1" applyFont="1" applyFill="1" applyBorder="1" applyAlignment="1">
      <alignment horizontal="right" vertical="center"/>
    </xf>
    <xf numFmtId="43" fontId="134" fillId="2" borderId="0" xfId="1" applyFont="1" applyFill="1" applyBorder="1" applyAlignment="1">
      <alignment horizontal="right"/>
    </xf>
    <xf numFmtId="3" fontId="134" fillId="2" borderId="0" xfId="1" applyNumberFormat="1" applyFont="1" applyFill="1" applyBorder="1" applyAlignment="1">
      <alignment horizontal="right" vertical="center"/>
    </xf>
    <xf numFmtId="4" fontId="17" fillId="2" borderId="0" xfId="1" applyNumberFormat="1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43" fontId="17" fillId="2" borderId="61" xfId="1" applyFont="1" applyFill="1" applyBorder="1" applyAlignment="1">
      <alignment horizontal="left" vertical="center"/>
    </xf>
    <xf numFmtId="0" fontId="104" fillId="2" borderId="39" xfId="0" applyFont="1" applyFill="1" applyBorder="1" applyAlignment="1">
      <alignment horizontal="center"/>
    </xf>
    <xf numFmtId="0" fontId="104" fillId="2" borderId="26" xfId="0" applyFont="1" applyFill="1" applyBorder="1" applyAlignment="1">
      <alignment horizontal="left"/>
    </xf>
    <xf numFmtId="0" fontId="104" fillId="2" borderId="26" xfId="0" applyFont="1" applyFill="1" applyBorder="1" applyAlignment="1">
      <alignment horizontal="right"/>
    </xf>
    <xf numFmtId="0" fontId="104" fillId="2" borderId="19" xfId="0" applyFont="1" applyFill="1" applyBorder="1" applyAlignment="1">
      <alignment horizontal="center"/>
    </xf>
    <xf numFmtId="0" fontId="104" fillId="2" borderId="18" xfId="0" applyFont="1" applyFill="1" applyBorder="1" applyAlignment="1">
      <alignment horizontal="center"/>
    </xf>
    <xf numFmtId="43" fontId="104" fillId="2" borderId="18" xfId="1" applyFont="1" applyFill="1" applyBorder="1" applyAlignment="1">
      <alignment horizontal="center" vertical="center"/>
    </xf>
    <xf numFmtId="4" fontId="104" fillId="2" borderId="18" xfId="1" applyNumberFormat="1" applyFont="1" applyFill="1" applyBorder="1" applyAlignment="1">
      <alignment horizontal="center" vertical="center"/>
    </xf>
    <xf numFmtId="43" fontId="104" fillId="2" borderId="25" xfId="1" applyFont="1" applyFill="1" applyBorder="1"/>
    <xf numFmtId="43" fontId="104" fillId="2" borderId="6" xfId="1" applyFont="1" applyFill="1" applyBorder="1" applyAlignment="1">
      <alignment horizontal="center" vertical="center"/>
    </xf>
    <xf numFmtId="0" fontId="104" fillId="2" borderId="0" xfId="0" applyFont="1" applyFill="1"/>
    <xf numFmtId="43" fontId="104" fillId="0" borderId="0" xfId="1" applyFont="1" applyFill="1" applyBorder="1" applyAlignment="1">
      <alignment horizontal="center" wrapText="1"/>
    </xf>
    <xf numFmtId="0" fontId="104" fillId="0" borderId="0" xfId="0" applyFont="1" applyAlignment="1">
      <alignment horizontal="center" wrapText="1"/>
    </xf>
    <xf numFmtId="43" fontId="104" fillId="0" borderId="0" xfId="1" applyFont="1" applyFill="1" applyBorder="1" applyAlignment="1">
      <alignment wrapText="1"/>
    </xf>
    <xf numFmtId="43" fontId="104" fillId="0" borderId="0" xfId="1" applyFont="1" applyFill="1" applyBorder="1" applyAlignment="1">
      <alignment horizontal="center" vertical="center" wrapText="1"/>
    </xf>
    <xf numFmtId="4" fontId="104" fillId="0" borderId="0" xfId="1" applyNumberFormat="1" applyFont="1" applyFill="1" applyBorder="1" applyAlignment="1">
      <alignment horizontal="center" vertical="center" wrapText="1"/>
    </xf>
    <xf numFmtId="41" fontId="104" fillId="0" borderId="0" xfId="1" applyNumberFormat="1" applyFont="1" applyFill="1" applyBorder="1" applyAlignment="1">
      <alignment vertical="center" wrapText="1"/>
    </xf>
    <xf numFmtId="0" fontId="104" fillId="0" borderId="0" xfId="0" applyFont="1"/>
    <xf numFmtId="0" fontId="6" fillId="2" borderId="70" xfId="0" applyFont="1" applyFill="1" applyBorder="1" applyAlignment="1">
      <alignment horizontal="center" vertical="top"/>
    </xf>
    <xf numFmtId="43" fontId="7" fillId="2" borderId="61" xfId="1" applyFont="1" applyFill="1" applyBorder="1" applyAlignment="1">
      <alignment horizontal="center" vertical="top"/>
    </xf>
    <xf numFmtId="0" fontId="7" fillId="2" borderId="61" xfId="0" applyFont="1" applyFill="1" applyBorder="1" applyAlignment="1">
      <alignment horizontal="center" vertical="top"/>
    </xf>
    <xf numFmtId="43" fontId="7" fillId="2" borderId="61" xfId="1" applyFont="1" applyFill="1" applyBorder="1" applyAlignment="1">
      <alignment horizontal="right" vertical="top"/>
    </xf>
    <xf numFmtId="43" fontId="7" fillId="2" borderId="62" xfId="1" applyFont="1" applyFill="1" applyBorder="1" applyAlignment="1">
      <alignment horizontal="right" vertical="top"/>
    </xf>
    <xf numFmtId="43" fontId="7" fillId="2" borderId="73" xfId="1" applyFont="1" applyFill="1" applyBorder="1" applyAlignment="1">
      <alignment horizontal="right" vertical="top"/>
    </xf>
    <xf numFmtId="0" fontId="102" fillId="25" borderId="48" xfId="0" applyFont="1" applyFill="1" applyBorder="1" applyAlignment="1">
      <alignment horizontal="center" vertical="top"/>
    </xf>
    <xf numFmtId="0" fontId="102" fillId="25" borderId="49" xfId="0" applyFont="1" applyFill="1" applyBorder="1" applyAlignment="1">
      <alignment horizontal="left" vertical="top"/>
    </xf>
    <xf numFmtId="0" fontId="6" fillId="25" borderId="51" xfId="0" applyFont="1" applyFill="1" applyBorder="1" applyAlignment="1">
      <alignment vertical="top"/>
    </xf>
    <xf numFmtId="167" fontId="6" fillId="25" borderId="52" xfId="1" applyNumberFormat="1" applyFont="1" applyFill="1" applyBorder="1" applyAlignment="1">
      <alignment horizontal="center" vertical="top"/>
    </xf>
    <xf numFmtId="0" fontId="6" fillId="25" borderId="52" xfId="0" applyFont="1" applyFill="1" applyBorder="1" applyAlignment="1">
      <alignment horizontal="center" vertical="top"/>
    </xf>
    <xf numFmtId="43" fontId="6" fillId="25" borderId="52" xfId="1" applyFont="1" applyFill="1" applyBorder="1" applyAlignment="1">
      <alignment horizontal="right" vertical="top"/>
    </xf>
    <xf numFmtId="43" fontId="6" fillId="25" borderId="49" xfId="1" applyFont="1" applyFill="1" applyBorder="1" applyAlignment="1">
      <alignment horizontal="right" vertical="top"/>
    </xf>
    <xf numFmtId="43" fontId="7" fillId="25" borderId="53" xfId="1" applyFont="1" applyFill="1" applyBorder="1" applyAlignment="1">
      <alignment horizontal="right" vertical="top"/>
    </xf>
    <xf numFmtId="0" fontId="6" fillId="2" borderId="54" xfId="0" applyFont="1" applyFill="1" applyBorder="1" applyAlignment="1">
      <alignment horizontal="center" vertical="top"/>
    </xf>
    <xf numFmtId="0" fontId="7" fillId="2" borderId="55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vertical="top"/>
    </xf>
    <xf numFmtId="167" fontId="7" fillId="2" borderId="58" xfId="1" applyNumberFormat="1" applyFont="1" applyFill="1" applyBorder="1" applyAlignment="1">
      <alignment horizontal="center" vertical="top"/>
    </xf>
    <xf numFmtId="4" fontId="7" fillId="2" borderId="58" xfId="1" applyNumberFormat="1" applyFont="1" applyFill="1" applyBorder="1" applyAlignment="1">
      <alignment horizontal="right" vertical="top"/>
    </xf>
    <xf numFmtId="43" fontId="7" fillId="2" borderId="58" xfId="1" applyFont="1" applyFill="1" applyBorder="1" applyAlignment="1">
      <alignment horizontal="right" vertical="top"/>
    </xf>
    <xf numFmtId="43" fontId="7" fillId="2" borderId="55" xfId="1" applyFont="1" applyFill="1" applyBorder="1" applyAlignment="1">
      <alignment horizontal="right" vertical="top"/>
    </xf>
    <xf numFmtId="43" fontId="7" fillId="2" borderId="59" xfId="1" applyFont="1" applyFill="1" applyBorder="1" applyAlignment="1">
      <alignment horizontal="right" vertical="top"/>
    </xf>
    <xf numFmtId="0" fontId="6" fillId="2" borderId="43" xfId="0" applyFont="1" applyFill="1" applyBorder="1" applyAlignment="1">
      <alignment horizontal="left" vertical="top"/>
    </xf>
    <xf numFmtId="0" fontId="6" fillId="2" borderId="44" xfId="0" applyFont="1" applyFill="1" applyBorder="1" applyAlignment="1">
      <alignment vertical="top"/>
    </xf>
    <xf numFmtId="0" fontId="7" fillId="2" borderId="45" xfId="0" applyFont="1" applyFill="1" applyBorder="1"/>
    <xf numFmtId="0" fontId="6" fillId="2" borderId="50" xfId="0" applyFont="1" applyFill="1" applyBorder="1" applyAlignment="1">
      <alignment vertical="top"/>
    </xf>
    <xf numFmtId="43" fontId="104" fillId="2" borderId="124" xfId="1" applyFont="1" applyFill="1" applyBorder="1" applyAlignment="1">
      <alignment horizontal="center"/>
    </xf>
    <xf numFmtId="0" fontId="9" fillId="2" borderId="7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left" vertical="center"/>
    </xf>
    <xf numFmtId="0" fontId="119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17" fillId="2" borderId="87" xfId="2" applyFont="1" applyFill="1" applyBorder="1" applyAlignment="1">
      <alignment horizontal="left" vertical="center"/>
    </xf>
    <xf numFmtId="0" fontId="139" fillId="2" borderId="0" xfId="0" applyFont="1" applyFill="1"/>
    <xf numFmtId="0" fontId="140" fillId="2" borderId="0" xfId="0" applyFont="1" applyFill="1"/>
    <xf numFmtId="166" fontId="140" fillId="2" borderId="0" xfId="0" applyNumberFormat="1" applyFont="1" applyFill="1" applyAlignment="1">
      <alignment horizontal="center"/>
    </xf>
    <xf numFmtId="166" fontId="139" fillId="2" borderId="0" xfId="0" applyNumberFormat="1" applyFont="1" applyFill="1"/>
    <xf numFmtId="0" fontId="139" fillId="2" borderId="0" xfId="0" applyFont="1" applyFill="1" applyAlignment="1">
      <alignment horizontal="center"/>
    </xf>
    <xf numFmtId="0" fontId="76" fillId="2" borderId="0" xfId="0" applyFont="1" applyFill="1"/>
    <xf numFmtId="0" fontId="76" fillId="0" borderId="0" xfId="0" applyFont="1"/>
    <xf numFmtId="4" fontId="139" fillId="2" borderId="0" xfId="0" applyNumberFormat="1" applyFont="1" applyFill="1"/>
    <xf numFmtId="0" fontId="139" fillId="2" borderId="11" xfId="0" applyFont="1" applyFill="1" applyBorder="1"/>
    <xf numFmtId="0" fontId="140" fillId="2" borderId="11" xfId="0" applyFont="1" applyFill="1" applyBorder="1"/>
    <xf numFmtId="166" fontId="140" fillId="2" borderId="11" xfId="0" applyNumberFormat="1" applyFont="1" applyFill="1" applyBorder="1" applyAlignment="1">
      <alignment horizontal="center"/>
    </xf>
    <xf numFmtId="166" fontId="139" fillId="2" borderId="11" xfId="0" applyNumberFormat="1" applyFont="1" applyFill="1" applyBorder="1"/>
    <xf numFmtId="0" fontId="139" fillId="2" borderId="11" xfId="0" applyFont="1" applyFill="1" applyBorder="1" applyAlignment="1">
      <alignment horizontal="center"/>
    </xf>
    <xf numFmtId="0" fontId="9" fillId="2" borderId="112" xfId="0" applyFont="1" applyFill="1" applyBorder="1" applyAlignment="1">
      <alignment horizontal="center"/>
    </xf>
    <xf numFmtId="0" fontId="8" fillId="2" borderId="116" xfId="0" applyFont="1" applyFill="1" applyBorder="1" applyAlignment="1">
      <alignment horizontal="center"/>
    </xf>
    <xf numFmtId="167" fontId="8" fillId="2" borderId="116" xfId="1" applyNumberFormat="1" applyFont="1" applyFill="1" applyBorder="1" applyAlignment="1">
      <alignment horizontal="center"/>
    </xf>
    <xf numFmtId="0" fontId="8" fillId="2" borderId="113" xfId="0" applyFont="1" applyFill="1" applyBorder="1" applyAlignment="1">
      <alignment horizontal="center"/>
    </xf>
    <xf numFmtId="0" fontId="8" fillId="2" borderId="114" xfId="0" applyFont="1" applyFill="1" applyBorder="1" applyAlignment="1">
      <alignment horizontal="center"/>
    </xf>
    <xf numFmtId="0" fontId="8" fillId="2" borderId="115" xfId="0" applyFont="1" applyFill="1" applyBorder="1" applyAlignment="1">
      <alignment horizontal="right" vertical="center" wrapText="1"/>
    </xf>
    <xf numFmtId="0" fontId="8" fillId="2" borderId="49" xfId="0" applyFont="1" applyFill="1" applyBorder="1" applyAlignment="1">
      <alignment horizontal="left" vertical="center" wrapText="1"/>
    </xf>
    <xf numFmtId="43" fontId="8" fillId="2" borderId="52" xfId="1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43" fontId="8" fillId="2" borderId="52" xfId="1" applyFont="1" applyFill="1" applyBorder="1" applyAlignment="1">
      <alignment horizontal="left" vertical="center" wrapText="1"/>
    </xf>
    <xf numFmtId="0" fontId="119" fillId="2" borderId="0" xfId="0" applyFont="1" applyFill="1" applyAlignment="1">
      <alignment horizontal="left" vertical="center" wrapText="1"/>
    </xf>
    <xf numFmtId="4" fontId="8" fillId="2" borderId="0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3" fontId="8" fillId="2" borderId="0" xfId="0" applyNumberFormat="1" applyFont="1" applyFill="1" applyAlignment="1">
      <alignment horizontal="left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21" fillId="2" borderId="50" xfId="0" applyFont="1" applyFill="1" applyBorder="1" applyAlignment="1">
      <alignment horizontal="left" vertical="center" wrapText="1"/>
    </xf>
    <xf numFmtId="0" fontId="121" fillId="2" borderId="51" xfId="0" applyFont="1" applyFill="1" applyBorder="1" applyAlignment="1">
      <alignment horizontal="left" vertical="center" wrapText="1"/>
    </xf>
    <xf numFmtId="43" fontId="121" fillId="2" borderId="52" xfId="1" applyFont="1" applyFill="1" applyBorder="1" applyAlignment="1">
      <alignment horizontal="left" vertical="center" wrapText="1"/>
    </xf>
    <xf numFmtId="0" fontId="141" fillId="2" borderId="0" xfId="0" applyFont="1" applyFill="1" applyAlignment="1">
      <alignment horizontal="left" vertical="center" wrapText="1"/>
    </xf>
    <xf numFmtId="4" fontId="121" fillId="2" borderId="0" xfId="1" applyNumberFormat="1" applyFont="1" applyFill="1" applyBorder="1" applyAlignment="1">
      <alignment horizontal="left" vertical="center" wrapText="1"/>
    </xf>
    <xf numFmtId="0" fontId="121" fillId="2" borderId="0" xfId="0" applyFont="1" applyFill="1" applyAlignment="1">
      <alignment horizontal="left" vertical="center" wrapText="1"/>
    </xf>
    <xf numFmtId="43" fontId="121" fillId="2" borderId="0" xfId="0" applyNumberFormat="1" applyFont="1" applyFill="1" applyAlignment="1">
      <alignment horizontal="left" vertical="center" wrapText="1"/>
    </xf>
    <xf numFmtId="0" fontId="9" fillId="2" borderId="48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43" fontId="8" fillId="2" borderId="52" xfId="1" applyFont="1" applyFill="1" applyBorder="1" applyAlignment="1">
      <alignment horizontal="left" vertical="center"/>
    </xf>
    <xf numFmtId="0" fontId="119" fillId="2" borderId="0" xfId="0" applyFont="1" applyFill="1" applyAlignment="1">
      <alignment horizontal="left" vertical="center"/>
    </xf>
    <xf numFmtId="4" fontId="8" fillId="2" borderId="0" xfId="1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3" fontId="8" fillId="2" borderId="0" xfId="0" applyNumberFormat="1" applyFont="1" applyFill="1" applyAlignment="1">
      <alignment horizontal="left" vertical="center"/>
    </xf>
    <xf numFmtId="43" fontId="17" fillId="2" borderId="41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right"/>
    </xf>
    <xf numFmtId="43" fontId="121" fillId="2" borderId="49" xfId="1" applyFont="1" applyFill="1" applyBorder="1" applyAlignment="1">
      <alignment horizontal="left" vertical="center" wrapText="1"/>
    </xf>
    <xf numFmtId="43" fontId="121" fillId="2" borderId="53" xfId="1" applyFont="1" applyFill="1" applyBorder="1" applyAlignment="1">
      <alignment horizontal="left" vertical="center" wrapText="1"/>
    </xf>
    <xf numFmtId="43" fontId="8" fillId="2" borderId="49" xfId="1" applyFont="1" applyFill="1" applyBorder="1" applyAlignment="1">
      <alignment horizontal="left" vertical="center" wrapText="1"/>
    </xf>
    <xf numFmtId="43" fontId="8" fillId="2" borderId="53" xfId="1" applyFont="1" applyFill="1" applyBorder="1" applyAlignment="1">
      <alignment horizontal="left" vertical="center" wrapText="1"/>
    </xf>
    <xf numFmtId="43" fontId="8" fillId="2" borderId="49" xfId="1" applyFont="1" applyFill="1" applyBorder="1" applyAlignment="1">
      <alignment horizontal="left" vertical="center"/>
    </xf>
    <xf numFmtId="43" fontId="8" fillId="2" borderId="53" xfId="1" applyFont="1" applyFill="1" applyBorder="1" applyAlignment="1">
      <alignment horizontal="left" vertical="center"/>
    </xf>
    <xf numFmtId="168" fontId="8" fillId="2" borderId="116" xfId="1" applyNumberFormat="1" applyFont="1" applyFill="1" applyBorder="1" applyAlignment="1">
      <alignment horizontal="right" vertical="center"/>
    </xf>
    <xf numFmtId="4" fontId="8" fillId="2" borderId="116" xfId="1" applyNumberFormat="1" applyFont="1" applyFill="1" applyBorder="1" applyAlignment="1">
      <alignment horizontal="right" vertical="center"/>
    </xf>
    <xf numFmtId="43" fontId="8" fillId="2" borderId="116" xfId="1" applyFont="1" applyFill="1" applyBorder="1" applyAlignment="1">
      <alignment horizontal="right"/>
    </xf>
    <xf numFmtId="43" fontId="8" fillId="2" borderId="113" xfId="1" applyFont="1" applyFill="1" applyBorder="1" applyAlignment="1">
      <alignment horizontal="right"/>
    </xf>
    <xf numFmtId="4" fontId="9" fillId="2" borderId="117" xfId="1" applyNumberFormat="1" applyFont="1" applyFill="1" applyBorder="1" applyAlignment="1">
      <alignment horizontal="right" vertical="center"/>
    </xf>
    <xf numFmtId="167" fontId="25" fillId="2" borderId="0" xfId="1" applyNumberFormat="1" applyFont="1" applyFill="1" applyBorder="1" applyAlignment="1">
      <alignment horizontal="center"/>
    </xf>
    <xf numFmtId="43" fontId="25" fillId="2" borderId="0" xfId="0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right" vertical="center"/>
    </xf>
    <xf numFmtId="43" fontId="8" fillId="2" borderId="0" xfId="1" applyFont="1" applyFill="1" applyBorder="1" applyAlignment="1">
      <alignment horizontal="right"/>
    </xf>
    <xf numFmtId="3" fontId="9" fillId="2" borderId="0" xfId="1" applyNumberFormat="1" applyFont="1" applyFill="1" applyBorder="1" applyAlignment="1">
      <alignment horizontal="right" vertical="center"/>
    </xf>
    <xf numFmtId="43" fontId="8" fillId="2" borderId="0" xfId="1" applyFont="1" applyFill="1" applyBorder="1" applyAlignment="1">
      <alignment vertical="center"/>
    </xf>
    <xf numFmtId="43" fontId="81" fillId="2" borderId="0" xfId="1" applyFont="1" applyFill="1" applyBorder="1" applyAlignment="1">
      <alignment vertical="center"/>
    </xf>
    <xf numFmtId="43" fontId="135" fillId="2" borderId="12" xfId="1" applyFont="1" applyFill="1" applyBorder="1" applyAlignment="1">
      <alignment horizontal="right" vertical="center"/>
    </xf>
    <xf numFmtId="168" fontId="134" fillId="2" borderId="11" xfId="1" applyNumberFormat="1" applyFont="1" applyFill="1" applyBorder="1" applyAlignment="1">
      <alignment horizontal="right" vertical="center"/>
    </xf>
    <xf numFmtId="43" fontId="135" fillId="2" borderId="127" xfId="1" applyFont="1" applyFill="1" applyBorder="1" applyAlignment="1">
      <alignment horizontal="right" vertical="center"/>
    </xf>
    <xf numFmtId="43" fontId="135" fillId="2" borderId="129" xfId="1" applyFont="1" applyFill="1" applyBorder="1" applyAlignment="1">
      <alignment horizontal="right" vertical="center"/>
    </xf>
    <xf numFmtId="167" fontId="134" fillId="2" borderId="0" xfId="1" applyNumberFormat="1" applyFont="1" applyFill="1" applyBorder="1" applyAlignment="1">
      <alignment horizontal="center"/>
    </xf>
    <xf numFmtId="43" fontId="134" fillId="2" borderId="0" xfId="0" applyNumberFormat="1" applyFont="1" applyFill="1" applyAlignment="1">
      <alignment horizontal="center"/>
    </xf>
    <xf numFmtId="43" fontId="88" fillId="2" borderId="60" xfId="1" applyFont="1" applyFill="1" applyBorder="1" applyAlignment="1">
      <alignment vertical="center"/>
    </xf>
    <xf numFmtId="43" fontId="75" fillId="2" borderId="38" xfId="1" applyFont="1" applyFill="1" applyBorder="1" applyAlignment="1">
      <alignment horizontal="right" vertical="center"/>
    </xf>
    <xf numFmtId="0" fontId="7" fillId="2" borderId="50" xfId="0" applyFont="1" applyFill="1" applyBorder="1" applyAlignment="1">
      <alignment horizontal="left" vertical="top" wrapText="1"/>
    </xf>
    <xf numFmtId="0" fontId="7" fillId="2" borderId="50" xfId="0" quotePrefix="1" applyFont="1" applyFill="1" applyBorder="1" applyAlignment="1">
      <alignment horizontal="center" vertical="top"/>
    </xf>
    <xf numFmtId="3" fontId="102" fillId="0" borderId="0" xfId="1" applyNumberFormat="1" applyFont="1" applyFill="1" applyBorder="1" applyAlignment="1">
      <alignment horizontal="left" vertical="center"/>
    </xf>
    <xf numFmtId="0" fontId="102" fillId="2" borderId="0" xfId="0" applyFont="1" applyFill="1" applyAlignment="1">
      <alignment horizontal="left" vertical="center"/>
    </xf>
    <xf numFmtId="43" fontId="102" fillId="0" borderId="0" xfId="1" applyFont="1" applyFill="1" applyBorder="1" applyAlignment="1">
      <alignment horizontal="left" vertical="center"/>
    </xf>
    <xf numFmtId="0" fontId="102" fillId="0" borderId="0" xfId="0" applyFont="1" applyAlignment="1">
      <alignment horizontal="left" vertical="center"/>
    </xf>
    <xf numFmtId="4" fontId="102" fillId="0" borderId="0" xfId="1" applyNumberFormat="1" applyFont="1" applyFill="1" applyBorder="1" applyAlignment="1">
      <alignment horizontal="left" vertical="center"/>
    </xf>
    <xf numFmtId="0" fontId="102" fillId="25" borderId="50" xfId="0" applyFont="1" applyFill="1" applyBorder="1" applyAlignment="1">
      <alignment horizontal="left" vertical="top"/>
    </xf>
    <xf numFmtId="0" fontId="102" fillId="25" borderId="51" xfId="0" applyFont="1" applyFill="1" applyBorder="1" applyAlignment="1">
      <alignment horizontal="left" vertical="top"/>
    </xf>
    <xf numFmtId="167" fontId="102" fillId="25" borderId="52" xfId="1" applyNumberFormat="1" applyFont="1" applyFill="1" applyBorder="1" applyAlignment="1">
      <alignment horizontal="left" vertical="top"/>
    </xf>
    <xf numFmtId="0" fontId="102" fillId="25" borderId="52" xfId="0" applyFont="1" applyFill="1" applyBorder="1" applyAlignment="1">
      <alignment horizontal="left" vertical="top"/>
    </xf>
    <xf numFmtId="43" fontId="102" fillId="25" borderId="52" xfId="1" applyFont="1" applyFill="1" applyBorder="1" applyAlignment="1">
      <alignment horizontal="left" vertical="top"/>
    </xf>
    <xf numFmtId="43" fontId="102" fillId="25" borderId="49" xfId="1" applyFont="1" applyFill="1" applyBorder="1" applyAlignment="1">
      <alignment horizontal="left" vertical="top"/>
    </xf>
    <xf numFmtId="43" fontId="102" fillId="25" borderId="53" xfId="1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right" vertical="top"/>
    </xf>
    <xf numFmtId="0" fontId="6" fillId="2" borderId="26" xfId="0" applyFont="1" applyFill="1" applyBorder="1"/>
    <xf numFmtId="3" fontId="6" fillId="2" borderId="26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" fontId="6" fillId="2" borderId="5" xfId="1" applyNumberFormat="1" applyFont="1" applyFill="1" applyBorder="1" applyAlignment="1">
      <alignment horizontal="center" vertical="center"/>
    </xf>
    <xf numFmtId="43" fontId="6" fillId="2" borderId="5" xfId="1" applyFont="1" applyFill="1" applyBorder="1"/>
    <xf numFmtId="0" fontId="6" fillId="2" borderId="0" xfId="0" applyFont="1" applyFill="1"/>
    <xf numFmtId="43" fontId="6" fillId="0" borderId="0" xfId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3" fontId="6" fillId="0" borderId="0" xfId="1" applyFont="1" applyFill="1" applyBorder="1" applyAlignment="1">
      <alignment wrapText="1"/>
    </xf>
    <xf numFmtId="43" fontId="6" fillId="0" borderId="0" xfId="1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Font="1"/>
    <xf numFmtId="43" fontId="88" fillId="0" borderId="0" xfId="2" applyNumberFormat="1" applyFont="1" applyAlignment="1">
      <alignment horizontal="center" vertical="center"/>
    </xf>
    <xf numFmtId="0" fontId="102" fillId="2" borderId="19" xfId="0" applyFont="1" applyFill="1" applyBorder="1" applyAlignment="1">
      <alignment horizontal="right"/>
    </xf>
    <xf numFmtId="0" fontId="17" fillId="2" borderId="48" xfId="0" applyFont="1" applyFill="1" applyBorder="1" applyAlignment="1">
      <alignment horizontal="center" vertical="top" wrapText="1"/>
    </xf>
    <xf numFmtId="0" fontId="121" fillId="2" borderId="49" xfId="0" applyFont="1" applyFill="1" applyBorder="1" applyAlignment="1">
      <alignment horizontal="left" vertical="top"/>
    </xf>
    <xf numFmtId="0" fontId="8" fillId="2" borderId="50" xfId="0" applyFont="1" applyFill="1" applyBorder="1" applyAlignment="1">
      <alignment horizontal="left" vertical="top"/>
    </xf>
    <xf numFmtId="0" fontId="119" fillId="2" borderId="0" xfId="0" applyFont="1" applyFill="1" applyAlignment="1">
      <alignment horizontal="center" vertical="top"/>
    </xf>
    <xf numFmtId="4" fontId="8" fillId="2" borderId="0" xfId="1" applyNumberFormat="1" applyFont="1" applyFill="1" applyBorder="1" applyAlignment="1">
      <alignment horizontal="right" vertical="top"/>
    </xf>
    <xf numFmtId="0" fontId="8" fillId="2" borderId="0" xfId="0" applyFont="1" applyFill="1" applyAlignment="1">
      <alignment vertical="top"/>
    </xf>
    <xf numFmtId="43" fontId="8" fillId="2" borderId="0" xfId="0" applyNumberFormat="1" applyFont="1" applyFill="1" applyAlignment="1">
      <alignment vertical="top"/>
    </xf>
    <xf numFmtId="0" fontId="8" fillId="2" borderId="49" xfId="0" quotePrefix="1" applyFont="1" applyFill="1" applyBorder="1" applyAlignment="1">
      <alignment horizontal="right" vertical="top"/>
    </xf>
    <xf numFmtId="43" fontId="119" fillId="2" borderId="0" xfId="0" applyNumberFormat="1" applyFont="1" applyFill="1" applyAlignment="1">
      <alignment horizontal="center" vertical="top"/>
    </xf>
    <xf numFmtId="0" fontId="7" fillId="2" borderId="50" xfId="0" quotePrefix="1" applyFont="1" applyFill="1" applyBorder="1" applyAlignment="1">
      <alignment horizontal="left" vertical="top"/>
    </xf>
    <xf numFmtId="0" fontId="18" fillId="2" borderId="23" xfId="0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left" vertical="top"/>
    </xf>
    <xf numFmtId="0" fontId="18" fillId="2" borderId="12" xfId="0" applyFont="1" applyFill="1" applyBorder="1" applyAlignment="1">
      <alignment horizontal="left" vertical="top"/>
    </xf>
    <xf numFmtId="0" fontId="6" fillId="2" borderId="44" xfId="2" applyFont="1" applyFill="1" applyBorder="1" applyAlignment="1">
      <alignment horizontal="left" vertical="center"/>
    </xf>
    <xf numFmtId="0" fontId="102" fillId="2" borderId="71" xfId="2" applyFont="1" applyFill="1" applyBorder="1" applyAlignment="1">
      <alignment horizontal="left" vertical="center"/>
    </xf>
    <xf numFmtId="43" fontId="102" fillId="2" borderId="71" xfId="1" applyFont="1" applyFill="1" applyBorder="1" applyAlignment="1">
      <alignment horizontal="left" vertical="center"/>
    </xf>
    <xf numFmtId="43" fontId="102" fillId="2" borderId="50" xfId="1" applyFont="1" applyFill="1" applyBorder="1" applyAlignment="1">
      <alignment horizontal="left" vertical="center"/>
    </xf>
    <xf numFmtId="0" fontId="6" fillId="2" borderId="67" xfId="2" applyFont="1" applyFill="1" applyBorder="1" applyAlignment="1">
      <alignment horizontal="left" vertical="center"/>
    </xf>
    <xf numFmtId="0" fontId="102" fillId="2" borderId="75" xfId="2" applyFont="1" applyFill="1" applyBorder="1" applyAlignment="1">
      <alignment horizontal="left" vertical="center"/>
    </xf>
    <xf numFmtId="0" fontId="103" fillId="25" borderId="119" xfId="0" applyFont="1" applyFill="1" applyBorder="1" applyAlignment="1">
      <alignment horizontal="left" vertical="top"/>
    </xf>
    <xf numFmtId="0" fontId="6" fillId="2" borderId="71" xfId="0" applyFont="1" applyFill="1" applyBorder="1" applyAlignment="1">
      <alignment horizontal="left" vertical="top"/>
    </xf>
    <xf numFmtId="0" fontId="6" fillId="25" borderId="50" xfId="0" applyFont="1" applyFill="1" applyBorder="1" applyAlignment="1">
      <alignment horizontal="left" vertical="top"/>
    </xf>
    <xf numFmtId="0" fontId="6" fillId="2" borderId="50" xfId="0" applyFont="1" applyFill="1" applyBorder="1" applyAlignment="1">
      <alignment horizontal="left" vertical="top" wrapText="1"/>
    </xf>
    <xf numFmtId="0" fontId="6" fillId="2" borderId="51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43" fontId="7" fillId="2" borderId="50" xfId="1" quotePrefix="1" applyFont="1" applyFill="1" applyBorder="1" applyAlignment="1">
      <alignment horizontal="left" vertical="top"/>
    </xf>
    <xf numFmtId="43" fontId="7" fillId="2" borderId="51" xfId="1" applyFont="1" applyFill="1" applyBorder="1" applyAlignment="1">
      <alignment horizontal="left" vertical="top"/>
    </xf>
    <xf numFmtId="43" fontId="7" fillId="2" borderId="0" xfId="1" applyFont="1" applyFill="1" applyBorder="1" applyAlignment="1">
      <alignment horizontal="left" vertical="top"/>
    </xf>
    <xf numFmtId="0" fontId="7" fillId="2" borderId="56" xfId="0" applyFont="1" applyFill="1" applyBorder="1" applyAlignment="1">
      <alignment horizontal="left" vertical="top"/>
    </xf>
    <xf numFmtId="0" fontId="7" fillId="2" borderId="26" xfId="0" applyFont="1" applyFill="1" applyBorder="1" applyAlignment="1">
      <alignment horizontal="left" vertical="top"/>
    </xf>
    <xf numFmtId="0" fontId="104" fillId="2" borderId="26" xfId="0" applyFont="1" applyFill="1" applyBorder="1" applyAlignment="1">
      <alignment horizontal="left" vertical="top"/>
    </xf>
    <xf numFmtId="43" fontId="6" fillId="2" borderId="50" xfId="1" applyFont="1" applyFill="1" applyBorder="1" applyAlignment="1">
      <alignment horizontal="left" vertical="top"/>
    </xf>
    <xf numFmtId="0" fontId="93" fillId="26" borderId="130" xfId="6" applyFont="1" applyFill="1" applyBorder="1" applyAlignment="1">
      <alignment horizontal="center"/>
    </xf>
    <xf numFmtId="43" fontId="128" fillId="26" borderId="132" xfId="1" applyFont="1" applyFill="1" applyBorder="1" applyAlignment="1">
      <alignment horizontal="left" vertical="top"/>
    </xf>
    <xf numFmtId="43" fontId="97" fillId="26" borderId="134" xfId="1" applyFont="1" applyFill="1" applyBorder="1" applyAlignment="1">
      <alignment horizontal="center" vertical="top"/>
    </xf>
    <xf numFmtId="43" fontId="97" fillId="26" borderId="134" xfId="1" applyFont="1" applyFill="1" applyBorder="1" applyAlignment="1">
      <alignment vertical="top"/>
    </xf>
    <xf numFmtId="43" fontId="129" fillId="26" borderId="134" xfId="1" applyFont="1" applyFill="1" applyBorder="1" applyAlignment="1">
      <alignment vertical="top"/>
    </xf>
    <xf numFmtId="43" fontId="96" fillId="26" borderId="135" xfId="1" applyFont="1" applyFill="1" applyBorder="1" applyAlignment="1">
      <alignment vertical="top"/>
    </xf>
    <xf numFmtId="43" fontId="142" fillId="2" borderId="50" xfId="1" applyFont="1" applyFill="1" applyBorder="1" applyAlignment="1">
      <alignment horizontal="left" vertical="top"/>
    </xf>
    <xf numFmtId="43" fontId="142" fillId="2" borderId="51" xfId="1" applyFont="1" applyFill="1" applyBorder="1" applyAlignment="1">
      <alignment horizontal="left" vertical="top"/>
    </xf>
    <xf numFmtId="43" fontId="97" fillId="26" borderId="52" xfId="1" applyFont="1" applyFill="1" applyBorder="1" applyAlignment="1">
      <alignment vertical="top"/>
    </xf>
    <xf numFmtId="43" fontId="93" fillId="26" borderId="53" xfId="1" applyFont="1" applyFill="1" applyBorder="1" applyAlignment="1">
      <alignment vertical="top"/>
    </xf>
    <xf numFmtId="43" fontId="97" fillId="26" borderId="51" xfId="1" applyFont="1" applyFill="1" applyBorder="1" applyAlignment="1">
      <alignment horizontal="center" vertical="top"/>
    </xf>
    <xf numFmtId="43" fontId="97" fillId="2" borderId="51" xfId="1" applyFont="1" applyFill="1" applyBorder="1" applyAlignment="1">
      <alignment horizontal="center" vertical="top"/>
    </xf>
    <xf numFmtId="0" fontId="97" fillId="2" borderId="50" xfId="6" applyFont="1" applyFill="1" applyBorder="1" applyAlignment="1">
      <alignment horizontal="left"/>
    </xf>
    <xf numFmtId="0" fontId="97" fillId="2" borderId="51" xfId="6" applyFont="1" applyFill="1" applyBorder="1" applyAlignment="1">
      <alignment horizontal="left"/>
    </xf>
    <xf numFmtId="3" fontId="97" fillId="2" borderId="51" xfId="4" applyNumberFormat="1" applyFont="1" applyFill="1" applyBorder="1" applyAlignment="1">
      <alignment horizontal="center"/>
    </xf>
    <xf numFmtId="40" fontId="97" fillId="2" borderId="52" xfId="4" applyFont="1" applyFill="1" applyBorder="1"/>
    <xf numFmtId="0" fontId="93" fillId="2" borderId="54" xfId="6" applyFont="1" applyFill="1" applyBorder="1" applyAlignment="1">
      <alignment horizontal="center"/>
    </xf>
    <xf numFmtId="0" fontId="97" fillId="2" borderId="56" xfId="6" applyFont="1" applyFill="1" applyBorder="1" applyAlignment="1">
      <alignment horizontal="left"/>
    </xf>
    <xf numFmtId="0" fontId="97" fillId="2" borderId="57" xfId="6" applyFont="1" applyFill="1" applyBorder="1" applyAlignment="1">
      <alignment horizontal="left"/>
    </xf>
    <xf numFmtId="3" fontId="97" fillId="2" borderId="57" xfId="4" applyNumberFormat="1" applyFont="1" applyFill="1" applyBorder="1" applyAlignment="1">
      <alignment horizontal="center"/>
    </xf>
    <xf numFmtId="0" fontId="97" fillId="2" borderId="58" xfId="6" applyFont="1" applyFill="1" applyBorder="1" applyAlignment="1">
      <alignment horizontal="center"/>
    </xf>
    <xf numFmtId="40" fontId="97" fillId="2" borderId="58" xfId="4" applyFont="1" applyFill="1" applyBorder="1"/>
    <xf numFmtId="4" fontId="97" fillId="2" borderId="59" xfId="4" applyNumberFormat="1" applyFont="1" applyFill="1" applyBorder="1"/>
    <xf numFmtId="0" fontId="93" fillId="2" borderId="126" xfId="6" applyFont="1" applyFill="1" applyBorder="1" applyAlignment="1">
      <alignment horizontal="center"/>
    </xf>
    <xf numFmtId="0" fontId="128" fillId="2" borderId="127" xfId="0" applyFont="1" applyFill="1" applyBorder="1"/>
    <xf numFmtId="0" fontId="128" fillId="2" borderId="11" xfId="0" applyFont="1" applyFill="1" applyBorder="1"/>
    <xf numFmtId="0" fontId="128" fillId="2" borderId="12" xfId="0" applyFont="1" applyFill="1" applyBorder="1"/>
    <xf numFmtId="3" fontId="128" fillId="2" borderId="12" xfId="4" applyNumberFormat="1" applyFont="1" applyFill="1" applyBorder="1" applyAlignment="1">
      <alignment horizontal="center"/>
    </xf>
    <xf numFmtId="0" fontId="128" fillId="2" borderId="128" xfId="6" applyFont="1" applyFill="1" applyBorder="1" applyAlignment="1">
      <alignment horizontal="center"/>
    </xf>
    <xf numFmtId="40" fontId="128" fillId="2" borderId="128" xfId="4" applyFont="1" applyFill="1" applyBorder="1"/>
    <xf numFmtId="43" fontId="128" fillId="2" borderId="129" xfId="6" applyNumberFormat="1" applyFont="1" applyFill="1" applyBorder="1" applyAlignment="1">
      <alignment horizontal="center"/>
    </xf>
    <xf numFmtId="0" fontId="128" fillId="2" borderId="14" xfId="6" applyFont="1" applyFill="1" applyBorder="1" applyAlignment="1">
      <alignment horizontal="center"/>
    </xf>
    <xf numFmtId="0" fontId="93" fillId="26" borderId="48" xfId="6" applyFont="1" applyFill="1" applyBorder="1" applyAlignment="1">
      <alignment horizontal="center"/>
    </xf>
    <xf numFmtId="43" fontId="143" fillId="26" borderId="50" xfId="1" applyFont="1" applyFill="1" applyBorder="1" applyAlignment="1">
      <alignment horizontal="left" vertical="top"/>
    </xf>
    <xf numFmtId="43" fontId="142" fillId="26" borderId="50" xfId="1" applyFont="1" applyFill="1" applyBorder="1" applyAlignment="1">
      <alignment horizontal="left" vertical="top"/>
    </xf>
    <xf numFmtId="43" fontId="142" fillId="26" borderId="51" xfId="1" applyFont="1" applyFill="1" applyBorder="1" applyAlignment="1">
      <alignment horizontal="left" vertical="top"/>
    </xf>
    <xf numFmtId="43" fontId="97" fillId="26" borderId="52" xfId="1" applyFont="1" applyFill="1" applyBorder="1" applyAlignment="1">
      <alignment horizontal="center" vertical="top"/>
    </xf>
    <xf numFmtId="43" fontId="128" fillId="26" borderId="50" xfId="1" applyFont="1" applyFill="1" applyBorder="1" applyAlignment="1">
      <alignment horizontal="left" vertical="top"/>
    </xf>
    <xf numFmtId="3" fontId="97" fillId="2" borderId="52" xfId="4" applyNumberFormat="1" applyFont="1" applyFill="1" applyBorder="1" applyAlignment="1">
      <alignment horizontal="center"/>
    </xf>
    <xf numFmtId="0" fontId="97" fillId="2" borderId="52" xfId="6" applyFont="1" applyFill="1" applyBorder="1" applyAlignment="1">
      <alignment horizontal="center"/>
    </xf>
    <xf numFmtId="4" fontId="97" fillId="2" borderId="53" xfId="4" applyNumberFormat="1" applyFont="1" applyFill="1" applyBorder="1"/>
    <xf numFmtId="4" fontId="4" fillId="0" borderId="2" xfId="0" applyNumberFormat="1" applyFont="1" applyBorder="1"/>
    <xf numFmtId="4" fontId="4" fillId="0" borderId="36" xfId="0" applyNumberFormat="1" applyFont="1" applyBorder="1"/>
    <xf numFmtId="43" fontId="17" fillId="0" borderId="18" xfId="1" applyFont="1" applyFill="1" applyBorder="1" applyAlignment="1">
      <alignment horizontal="center" vertical="center"/>
    </xf>
    <xf numFmtId="4" fontId="17" fillId="0" borderId="18" xfId="2" applyNumberFormat="1" applyFont="1" applyBorder="1" applyAlignment="1">
      <alignment horizontal="center" vertical="center"/>
    </xf>
    <xf numFmtId="4" fontId="17" fillId="0" borderId="9" xfId="2" applyNumberFormat="1" applyFont="1" applyBorder="1" applyAlignment="1">
      <alignment horizontal="center" vertical="center"/>
    </xf>
    <xf numFmtId="43" fontId="17" fillId="0" borderId="128" xfId="1" applyFont="1" applyFill="1" applyBorder="1" applyAlignment="1">
      <alignment horizontal="center" vertical="center"/>
    </xf>
    <xf numFmtId="4" fontId="17" fillId="0" borderId="128" xfId="2" applyNumberFormat="1" applyFont="1" applyBorder="1" applyAlignment="1">
      <alignment horizontal="center" vertical="center"/>
    </xf>
    <xf numFmtId="4" fontId="17" fillId="0" borderId="129" xfId="2" applyNumberFormat="1" applyFont="1" applyBorder="1" applyAlignment="1">
      <alignment horizontal="center" vertical="center"/>
    </xf>
    <xf numFmtId="43" fontId="8" fillId="0" borderId="52" xfId="1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right" vertical="center" wrapText="1"/>
    </xf>
    <xf numFmtId="167" fontId="8" fillId="2" borderId="21" xfId="1" applyNumberFormat="1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168" fontId="8" fillId="0" borderId="24" xfId="1" applyNumberFormat="1" applyFont="1" applyFill="1" applyBorder="1" applyAlignment="1">
      <alignment horizontal="right" vertical="center"/>
    </xf>
    <xf numFmtId="4" fontId="8" fillId="0" borderId="24" xfId="1" applyNumberFormat="1" applyFont="1" applyFill="1" applyBorder="1" applyAlignment="1">
      <alignment horizontal="right" vertical="center"/>
    </xf>
    <xf numFmtId="43" fontId="8" fillId="0" borderId="24" xfId="1" applyFont="1" applyFill="1" applyBorder="1" applyAlignment="1">
      <alignment horizontal="right"/>
    </xf>
    <xf numFmtId="4" fontId="9" fillId="0" borderId="21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43" fontId="8" fillId="0" borderId="0" xfId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0" fontId="30" fillId="2" borderId="2" xfId="0" applyFont="1" applyFill="1" applyBorder="1" applyAlignment="1">
      <alignment horizontal="center"/>
    </xf>
    <xf numFmtId="4" fontId="25" fillId="0" borderId="0" xfId="1" applyNumberFormat="1" applyFont="1" applyFill="1" applyBorder="1" applyAlignment="1">
      <alignment horizontal="right" vertical="center"/>
    </xf>
    <xf numFmtId="43" fontId="25" fillId="0" borderId="0" xfId="1" applyFont="1" applyFill="1" applyBorder="1" applyAlignment="1">
      <alignment horizontal="right" vertical="center"/>
    </xf>
    <xf numFmtId="43" fontId="25" fillId="0" borderId="0" xfId="1" applyFont="1" applyFill="1" applyBorder="1" applyAlignment="1">
      <alignment horizontal="right"/>
    </xf>
    <xf numFmtId="3" fontId="126" fillId="0" borderId="0" xfId="1" applyNumberFormat="1" applyFont="1" applyFill="1" applyBorder="1" applyAlignment="1">
      <alignment horizontal="right" vertical="center"/>
    </xf>
    <xf numFmtId="0" fontId="12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24" fillId="2" borderId="2" xfId="0" applyFont="1" applyFill="1" applyBorder="1" applyAlignment="1">
      <alignment vertical="center" wrapText="1"/>
    </xf>
    <xf numFmtId="9" fontId="25" fillId="2" borderId="22" xfId="0" applyNumberFormat="1" applyFont="1" applyFill="1" applyBorder="1" applyAlignment="1">
      <alignment vertical="center" wrapText="1"/>
    </xf>
    <xf numFmtId="0" fontId="25" fillId="0" borderId="22" xfId="0" applyFont="1" applyBorder="1" applyAlignment="1">
      <alignment horizontal="center" vertical="center" wrapText="1"/>
    </xf>
    <xf numFmtId="4" fontId="25" fillId="0" borderId="23" xfId="1" applyNumberFormat="1" applyFont="1" applyFill="1" applyBorder="1" applyAlignment="1">
      <alignment horizontal="right" vertical="center"/>
    </xf>
    <xf numFmtId="0" fontId="123" fillId="0" borderId="26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/>
    </xf>
    <xf numFmtId="0" fontId="30" fillId="2" borderId="26" xfId="0" applyFont="1" applyFill="1" applyBorder="1" applyAlignment="1">
      <alignment horizontal="center"/>
    </xf>
    <xf numFmtId="0" fontId="124" fillId="2" borderId="19" xfId="0" applyFont="1" applyFill="1" applyBorder="1" applyAlignment="1">
      <alignment vertical="center" wrapText="1"/>
    </xf>
    <xf numFmtId="43" fontId="17" fillId="2" borderId="26" xfId="1" applyFont="1" applyFill="1" applyBorder="1" applyAlignment="1">
      <alignment vertical="center"/>
    </xf>
    <xf numFmtId="43" fontId="17" fillId="0" borderId="26" xfId="1" applyFont="1" applyFill="1" applyBorder="1" applyAlignment="1">
      <alignment vertical="center"/>
    </xf>
    <xf numFmtId="43" fontId="17" fillId="0" borderId="0" xfId="1" applyFont="1" applyFill="1" applyBorder="1" applyAlignment="1">
      <alignment vertical="center"/>
    </xf>
    <xf numFmtId="4" fontId="17" fillId="0" borderId="0" xfId="1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3" fontId="8" fillId="0" borderId="0" xfId="1" applyFont="1" applyFill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3" fontId="81" fillId="0" borderId="0" xfId="1" applyFont="1" applyFill="1" applyBorder="1" applyAlignment="1">
      <alignment vertical="center"/>
    </xf>
    <xf numFmtId="43" fontId="81" fillId="0" borderId="0" xfId="1" applyFont="1" applyFill="1" applyAlignment="1">
      <alignment vertical="center"/>
    </xf>
    <xf numFmtId="0" fontId="81" fillId="0" borderId="0" xfId="0" applyFont="1" applyAlignment="1">
      <alignment vertical="center"/>
    </xf>
    <xf numFmtId="4" fontId="81" fillId="0" borderId="0" xfId="0" applyNumberFormat="1" applyFont="1" applyAlignment="1">
      <alignment vertical="center"/>
    </xf>
    <xf numFmtId="0" fontId="17" fillId="2" borderId="72" xfId="2" applyFont="1" applyFill="1" applyBorder="1" applyAlignment="1">
      <alignment horizontal="left" vertical="center"/>
    </xf>
    <xf numFmtId="0" fontId="106" fillId="0" borderId="51" xfId="324" quotePrefix="1" applyFont="1" applyBorder="1" applyAlignment="1">
      <alignment horizontal="left" wrapText="1"/>
    </xf>
    <xf numFmtId="0" fontId="145" fillId="0" borderId="51" xfId="324" quotePrefix="1" applyFont="1" applyBorder="1" applyAlignment="1">
      <alignment horizontal="left" wrapText="1"/>
    </xf>
    <xf numFmtId="0" fontId="112" fillId="0" borderId="48" xfId="324" applyFont="1" applyBorder="1" applyAlignment="1">
      <alignment horizontal="center"/>
    </xf>
    <xf numFmtId="0" fontId="145" fillId="0" borderId="51" xfId="324" quotePrefix="1" applyFont="1" applyBorder="1" applyAlignment="1">
      <alignment horizontal="left"/>
    </xf>
    <xf numFmtId="0" fontId="112" fillId="0" borderId="51" xfId="324" quotePrefix="1" applyFont="1" applyBorder="1" applyAlignment="1">
      <alignment horizontal="left"/>
    </xf>
    <xf numFmtId="0" fontId="7" fillId="0" borderId="51" xfId="324" applyFont="1" applyBorder="1"/>
    <xf numFmtId="0" fontId="112" fillId="0" borderId="50" xfId="324" quotePrefix="1" applyFont="1" applyBorder="1" applyAlignment="1">
      <alignment horizontal="left"/>
    </xf>
    <xf numFmtId="0" fontId="112" fillId="0" borderId="49" xfId="324" quotePrefix="1" applyFont="1" applyBorder="1" applyAlignment="1">
      <alignment horizontal="right"/>
    </xf>
    <xf numFmtId="43" fontId="88" fillId="2" borderId="6" xfId="1" applyFont="1" applyFill="1" applyBorder="1" applyAlignment="1">
      <alignment horizontal="right" vertical="center"/>
    </xf>
    <xf numFmtId="0" fontId="121" fillId="2" borderId="50" xfId="0" quotePrefix="1" applyFont="1" applyFill="1" applyBorder="1" applyAlignment="1">
      <alignment horizontal="left" vertical="center"/>
    </xf>
    <xf numFmtId="0" fontId="17" fillId="2" borderId="62" xfId="2" applyFont="1" applyFill="1" applyBorder="1" applyAlignment="1">
      <alignment horizontal="right" vertical="center"/>
    </xf>
    <xf numFmtId="0" fontId="17" fillId="2" borderId="62" xfId="2" applyFont="1" applyFill="1" applyBorder="1" applyAlignment="1">
      <alignment horizontal="right" vertical="top"/>
    </xf>
    <xf numFmtId="0" fontId="121" fillId="2" borderId="50" xfId="0" quotePrefix="1" applyFont="1" applyFill="1" applyBorder="1" applyAlignment="1">
      <alignment horizontal="left" vertical="top"/>
    </xf>
    <xf numFmtId="0" fontId="131" fillId="2" borderId="131" xfId="2" applyFont="1" applyFill="1" applyBorder="1" applyAlignment="1">
      <alignment horizontal="left" vertical="center"/>
    </xf>
    <xf numFmtId="43" fontId="146" fillId="2" borderId="52" xfId="1" applyFont="1" applyFill="1" applyBorder="1" applyAlignment="1">
      <alignment horizontal="right" vertical="center"/>
    </xf>
    <xf numFmtId="43" fontId="147" fillId="2" borderId="52" xfId="1" applyFont="1" applyFill="1" applyBorder="1" applyAlignment="1">
      <alignment horizontal="right" vertical="center"/>
    </xf>
    <xf numFmtId="4" fontId="148" fillId="0" borderId="0" xfId="0" applyNumberFormat="1" applyFont="1" applyAlignment="1">
      <alignment horizontal="right" vertical="center" readingOrder="1"/>
    </xf>
    <xf numFmtId="43" fontId="121" fillId="2" borderId="49" xfId="1" applyFont="1" applyFill="1" applyBorder="1" applyAlignment="1">
      <alignment horizontal="center" vertical="top"/>
    </xf>
    <xf numFmtId="43" fontId="103" fillId="2" borderId="52" xfId="1" applyFont="1" applyFill="1" applyBorder="1" applyAlignment="1">
      <alignment horizontal="center" vertical="top"/>
    </xf>
    <xf numFmtId="168" fontId="136" fillId="2" borderId="52" xfId="1" applyNumberFormat="1" applyFont="1" applyFill="1" applyBorder="1" applyAlignment="1">
      <alignment horizontal="right" vertical="top"/>
    </xf>
    <xf numFmtId="43" fontId="137" fillId="2" borderId="52" xfId="1" applyFont="1" applyFill="1" applyBorder="1" applyAlignment="1">
      <alignment horizontal="right" vertical="top"/>
    </xf>
    <xf numFmtId="43" fontId="147" fillId="2" borderId="52" xfId="1" applyFont="1" applyFill="1" applyBorder="1" applyAlignment="1">
      <alignment horizontal="right" vertical="top"/>
    </xf>
    <xf numFmtId="43" fontId="121" fillId="2" borderId="53" xfId="1" applyFont="1" applyFill="1" applyBorder="1" applyAlignment="1">
      <alignment horizontal="right" vertical="top"/>
    </xf>
    <xf numFmtId="0" fontId="120" fillId="2" borderId="0" xfId="2" applyFont="1" applyFill="1" applyAlignment="1">
      <alignment horizontal="center" vertical="top"/>
    </xf>
    <xf numFmtId="4" fontId="17" fillId="2" borderId="0" xfId="2" applyNumberFormat="1" applyFont="1" applyFill="1" applyAlignment="1">
      <alignment horizontal="center" vertical="top"/>
    </xf>
    <xf numFmtId="0" fontId="121" fillId="2" borderId="0" xfId="0" applyFont="1" applyFill="1" applyAlignment="1">
      <alignment horizontal="center" vertical="top"/>
    </xf>
    <xf numFmtId="0" fontId="121" fillId="2" borderId="0" xfId="0" applyFont="1" applyFill="1" applyAlignment="1">
      <alignment vertical="top"/>
    </xf>
    <xf numFmtId="43" fontId="94" fillId="2" borderId="1" xfId="1" applyFont="1" applyFill="1" applyBorder="1" applyAlignment="1">
      <alignment horizontal="right"/>
    </xf>
    <xf numFmtId="0" fontId="9" fillId="2" borderId="49" xfId="0" applyFont="1" applyFill="1" applyBorder="1" applyAlignment="1">
      <alignment horizontal="left" vertical="center"/>
    </xf>
    <xf numFmtId="0" fontId="17" fillId="2" borderId="4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right" vertical="center"/>
    </xf>
    <xf numFmtId="0" fontId="8" fillId="2" borderId="70" xfId="0" applyFont="1" applyFill="1" applyBorder="1" applyAlignment="1">
      <alignment horizontal="right" vertical="center"/>
    </xf>
    <xf numFmtId="0" fontId="8" fillId="2" borderId="49" xfId="0" quotePrefix="1" applyFont="1" applyFill="1" applyBorder="1" applyAlignment="1">
      <alignment horizontal="left" vertical="center"/>
    </xf>
    <xf numFmtId="2" fontId="9" fillId="2" borderId="70" xfId="0" applyNumberFormat="1" applyFont="1" applyFill="1" applyBorder="1" applyAlignment="1">
      <alignment horizontal="right" vertical="center"/>
    </xf>
    <xf numFmtId="43" fontId="103" fillId="2" borderId="53" xfId="1" applyFont="1" applyFill="1" applyBorder="1" applyAlignment="1">
      <alignment horizontal="center"/>
    </xf>
    <xf numFmtId="43" fontId="7" fillId="0" borderId="52" xfId="1" applyFont="1" applyFill="1" applyBorder="1" applyAlignment="1">
      <alignment horizontal="right" vertical="center"/>
    </xf>
    <xf numFmtId="2" fontId="8" fillId="2" borderId="70" xfId="0" applyNumberFormat="1" applyFont="1" applyFill="1" applyBorder="1" applyAlignment="1">
      <alignment horizontal="right" vertical="center"/>
    </xf>
    <xf numFmtId="43" fontId="103" fillId="2" borderId="69" xfId="1" applyFont="1" applyFill="1" applyBorder="1" applyAlignment="1">
      <alignment horizontal="center"/>
    </xf>
    <xf numFmtId="43" fontId="103" fillId="2" borderId="5" xfId="1" applyFont="1" applyFill="1" applyBorder="1" applyAlignment="1">
      <alignment horizontal="center"/>
    </xf>
    <xf numFmtId="43" fontId="8" fillId="0" borderId="5" xfId="1" applyFont="1" applyFill="1" applyBorder="1" applyAlignment="1">
      <alignment horizontal="center" vertical="center"/>
    </xf>
    <xf numFmtId="3" fontId="88" fillId="2" borderId="5" xfId="2" applyNumberFormat="1" applyFont="1" applyFill="1" applyBorder="1" applyAlignment="1">
      <alignment horizontal="center" vertical="center" wrapText="1"/>
    </xf>
    <xf numFmtId="168" fontId="6" fillId="2" borderId="46" xfId="1" applyNumberFormat="1" applyFont="1" applyFill="1" applyBorder="1" applyAlignment="1">
      <alignment horizontal="center" vertical="center" wrapText="1"/>
    </xf>
    <xf numFmtId="168" fontId="6" fillId="2" borderId="61" xfId="1" applyNumberFormat="1" applyFont="1" applyFill="1" applyBorder="1" applyAlignment="1">
      <alignment horizontal="center" vertical="center" wrapText="1"/>
    </xf>
    <xf numFmtId="168" fontId="102" fillId="2" borderId="61" xfId="1" applyNumberFormat="1" applyFont="1" applyFill="1" applyBorder="1" applyAlignment="1">
      <alignment horizontal="center" vertical="center" wrapText="1"/>
    </xf>
    <xf numFmtId="168" fontId="6" fillId="2" borderId="63" xfId="1" applyNumberFormat="1" applyFont="1" applyFill="1" applyBorder="1" applyAlignment="1">
      <alignment horizontal="center" vertical="center" wrapText="1"/>
    </xf>
    <xf numFmtId="168" fontId="102" fillId="2" borderId="124" xfId="1" applyNumberFormat="1" applyFont="1" applyFill="1" applyBorder="1" applyAlignment="1">
      <alignment horizontal="center" vertical="center" wrapText="1"/>
    </xf>
    <xf numFmtId="168" fontId="6" fillId="2" borderId="14" xfId="1" applyNumberFormat="1" applyFont="1" applyFill="1" applyBorder="1" applyAlignment="1">
      <alignment horizontal="center" vertical="center" wrapText="1"/>
    </xf>
    <xf numFmtId="168" fontId="103" fillId="25" borderId="119" xfId="1" applyNumberFormat="1" applyFont="1" applyFill="1" applyBorder="1" applyAlignment="1">
      <alignment horizontal="center"/>
    </xf>
    <xf numFmtId="168" fontId="7" fillId="2" borderId="61" xfId="1" applyNumberFormat="1" applyFont="1" applyFill="1" applyBorder="1" applyAlignment="1">
      <alignment horizontal="center"/>
    </xf>
    <xf numFmtId="168" fontId="7" fillId="2" borderId="52" xfId="1" applyNumberFormat="1" applyFont="1" applyFill="1" applyBorder="1" applyAlignment="1">
      <alignment horizontal="center" vertical="center" wrapText="1"/>
    </xf>
    <xf numFmtId="168" fontId="7" fillId="2" borderId="52" xfId="1" applyNumberFormat="1" applyFont="1" applyFill="1" applyBorder="1" applyAlignment="1">
      <alignment horizontal="center"/>
    </xf>
    <xf numFmtId="168" fontId="6" fillId="25" borderId="52" xfId="1" applyNumberFormat="1" applyFont="1" applyFill="1" applyBorder="1" applyAlignment="1">
      <alignment horizontal="center"/>
    </xf>
    <xf numFmtId="168" fontId="7" fillId="2" borderId="52" xfId="1" applyNumberFormat="1" applyFont="1" applyFill="1" applyBorder="1" applyAlignment="1">
      <alignment horizontal="center" vertical="top" wrapText="1"/>
    </xf>
    <xf numFmtId="168" fontId="7" fillId="2" borderId="52" xfId="1" applyNumberFormat="1" applyFont="1" applyFill="1" applyBorder="1" applyAlignment="1">
      <alignment horizontal="center" vertical="top"/>
    </xf>
    <xf numFmtId="168" fontId="7" fillId="0" borderId="52" xfId="1" applyNumberFormat="1" applyFont="1" applyFill="1" applyBorder="1" applyAlignment="1">
      <alignment horizontal="center"/>
    </xf>
    <xf numFmtId="168" fontId="6" fillId="0" borderId="52" xfId="1" applyNumberFormat="1" applyFont="1" applyFill="1" applyBorder="1" applyAlignment="1">
      <alignment horizontal="center"/>
    </xf>
    <xf numFmtId="168" fontId="7" fillId="2" borderId="58" xfId="1" applyNumberFormat="1" applyFont="1" applyFill="1" applyBorder="1" applyAlignment="1">
      <alignment horizontal="center"/>
    </xf>
    <xf numFmtId="168" fontId="7" fillId="2" borderId="26" xfId="1" applyNumberFormat="1" applyFont="1" applyFill="1" applyBorder="1" applyAlignment="1">
      <alignment horizontal="center"/>
    </xf>
    <xf numFmtId="168" fontId="104" fillId="2" borderId="26" xfId="1" applyNumberFormat="1" applyFont="1" applyFill="1" applyBorder="1" applyAlignment="1">
      <alignment horizontal="right"/>
    </xf>
    <xf numFmtId="168" fontId="7" fillId="2" borderId="0" xfId="1" applyNumberFormat="1" applyFont="1" applyFill="1"/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8" fontId="7" fillId="2" borderId="52" xfId="1" applyNumberFormat="1" applyFont="1" applyFill="1" applyBorder="1" applyAlignment="1">
      <alignment horizontal="center" vertical="center"/>
    </xf>
    <xf numFmtId="0" fontId="121" fillId="2" borderId="50" xfId="0" quotePrefix="1" applyFont="1" applyFill="1" applyBorder="1" applyAlignment="1">
      <alignment horizontal="center" vertical="center" wrapText="1"/>
    </xf>
    <xf numFmtId="0" fontId="121" fillId="2" borderId="51" xfId="0" quotePrefix="1" applyFont="1" applyFill="1" applyBorder="1" applyAlignment="1">
      <alignment horizontal="center" vertical="center" wrapText="1"/>
    </xf>
    <xf numFmtId="43" fontId="121" fillId="2" borderId="49" xfId="1" applyFont="1" applyFill="1" applyBorder="1" applyAlignment="1">
      <alignment horizontal="right" vertical="center"/>
    </xf>
    <xf numFmtId="0" fontId="17" fillId="2" borderId="62" xfId="2" applyFont="1" applyFill="1" applyBorder="1" applyAlignment="1">
      <alignment horizontal="left" vertical="center"/>
    </xf>
    <xf numFmtId="0" fontId="17" fillId="2" borderId="48" xfId="0" applyFont="1" applyFill="1" applyBorder="1" applyAlignment="1">
      <alignment horizontal="left" vertical="center"/>
    </xf>
    <xf numFmtId="0" fontId="121" fillId="2" borderId="50" xfId="0" quotePrefix="1" applyFont="1" applyFill="1" applyBorder="1" applyAlignment="1">
      <alignment horizontal="left" vertical="center" wrapText="1"/>
    </xf>
    <xf numFmtId="0" fontId="121" fillId="2" borderId="51" xfId="0" quotePrefix="1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left" vertical="center" indent="3"/>
    </xf>
    <xf numFmtId="43" fontId="121" fillId="2" borderId="64" xfId="1" applyFont="1" applyFill="1" applyBorder="1" applyAlignment="1">
      <alignment horizontal="right" vertical="center"/>
    </xf>
    <xf numFmtId="43" fontId="121" fillId="2" borderId="63" xfId="1" applyFont="1" applyFill="1" applyBorder="1" applyAlignment="1">
      <alignment horizontal="right" vertical="center"/>
    </xf>
    <xf numFmtId="168" fontId="136" fillId="2" borderId="63" xfId="1" applyNumberFormat="1" applyFont="1" applyFill="1" applyBorder="1" applyAlignment="1">
      <alignment horizontal="right" vertical="center"/>
    </xf>
    <xf numFmtId="43" fontId="137" fillId="2" borderId="63" xfId="1" applyFont="1" applyFill="1" applyBorder="1" applyAlignment="1">
      <alignment horizontal="right" vertical="center"/>
    </xf>
    <xf numFmtId="40" fontId="149" fillId="2" borderId="52" xfId="4" applyFont="1" applyFill="1" applyBorder="1"/>
    <xf numFmtId="40" fontId="149" fillId="0" borderId="52" xfId="4" applyFont="1" applyFill="1" applyBorder="1"/>
    <xf numFmtId="0" fontId="149" fillId="2" borderId="52" xfId="6" applyFont="1" applyFill="1" applyBorder="1"/>
    <xf numFmtId="40" fontId="149" fillId="2" borderId="52" xfId="4" applyFont="1" applyFill="1" applyBorder="1" applyAlignment="1"/>
    <xf numFmtId="40" fontId="149" fillId="0" borderId="52" xfId="4" applyFont="1" applyFill="1" applyBorder="1" applyAlignment="1"/>
    <xf numFmtId="0" fontId="149" fillId="0" borderId="52" xfId="6" applyFont="1" applyBorder="1"/>
    <xf numFmtId="0" fontId="17" fillId="2" borderId="70" xfId="2" applyFont="1" applyFill="1" applyBorder="1" applyAlignment="1">
      <alignment horizontal="left" vertical="center"/>
    </xf>
    <xf numFmtId="0" fontId="17" fillId="2" borderId="48" xfId="0" applyFont="1" applyFill="1" applyBorder="1" applyAlignment="1">
      <alignment horizontal="left" vertical="top"/>
    </xf>
    <xf numFmtId="43" fontId="103" fillId="2" borderId="63" xfId="1" applyFont="1" applyFill="1" applyBorder="1" applyAlignment="1">
      <alignment horizontal="center"/>
    </xf>
    <xf numFmtId="0" fontId="25" fillId="2" borderId="128" xfId="0" applyFont="1" applyFill="1" applyBorder="1" applyAlignment="1">
      <alignment horizontal="center" vertical="center" wrapText="1"/>
    </xf>
    <xf numFmtId="3" fontId="149" fillId="0" borderId="52" xfId="4" applyNumberFormat="1" applyFont="1" applyFill="1" applyBorder="1" applyAlignment="1">
      <alignment horizontal="center"/>
    </xf>
    <xf numFmtId="0" fontId="149" fillId="0" borderId="52" xfId="6" applyFont="1" applyBorder="1" applyAlignment="1">
      <alignment horizontal="center"/>
    </xf>
    <xf numFmtId="40" fontId="149" fillId="0" borderId="52" xfId="4" applyFont="1" applyFill="1" applyBorder="1" applyAlignment="1">
      <alignment horizontal="center"/>
    </xf>
    <xf numFmtId="43" fontId="8" fillId="0" borderId="52" xfId="1" applyFont="1" applyFill="1" applyBorder="1" applyAlignment="1">
      <alignment horizontal="left" vertical="center" wrapText="1"/>
    </xf>
    <xf numFmtId="43" fontId="8" fillId="0" borderId="52" xfId="1" applyFont="1" applyFill="1" applyBorder="1" applyAlignment="1">
      <alignment horizontal="left" vertical="center"/>
    </xf>
    <xf numFmtId="0" fontId="131" fillId="2" borderId="27" xfId="0" applyFont="1" applyFill="1" applyBorder="1"/>
    <xf numFmtId="0" fontId="131" fillId="2" borderId="22" xfId="0" applyFont="1" applyFill="1" applyBorder="1" applyAlignment="1">
      <alignment horizontal="left"/>
    </xf>
    <xf numFmtId="0" fontId="8" fillId="2" borderId="23" xfId="0" applyFont="1" applyFill="1" applyBorder="1" applyAlignment="1">
      <alignment vertical="top"/>
    </xf>
    <xf numFmtId="0" fontId="131" fillId="2" borderId="22" xfId="0" applyFont="1" applyFill="1" applyBorder="1"/>
    <xf numFmtId="0" fontId="8" fillId="2" borderId="22" xfId="0" applyFont="1" applyFill="1" applyBorder="1"/>
    <xf numFmtId="166" fontId="8" fillId="2" borderId="22" xfId="0" applyNumberFormat="1" applyFont="1" applyFill="1" applyBorder="1" applyAlignment="1">
      <alignment horizontal="center"/>
    </xf>
    <xf numFmtId="166" fontId="9" fillId="2" borderId="5" xfId="0" applyNumberFormat="1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43" fontId="8" fillId="2" borderId="31" xfId="1" applyFont="1" applyFill="1" applyBorder="1"/>
    <xf numFmtId="0" fontId="131" fillId="2" borderId="7" xfId="0" applyFont="1" applyFill="1" applyBorder="1"/>
    <xf numFmtId="0" fontId="131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vertical="top"/>
    </xf>
    <xf numFmtId="0" fontId="131" fillId="2" borderId="2" xfId="0" applyFont="1" applyFill="1" applyBorder="1"/>
    <xf numFmtId="0" fontId="8" fillId="2" borderId="2" xfId="0" applyFont="1" applyFill="1" applyBorder="1"/>
    <xf numFmtId="166" fontId="8" fillId="2" borderId="2" xfId="0" applyNumberFormat="1" applyFont="1" applyFill="1" applyBorder="1" applyAlignment="1">
      <alignment horizontal="center"/>
    </xf>
    <xf numFmtId="0" fontId="131" fillId="2" borderId="10" xfId="0" applyFont="1" applyFill="1" applyBorder="1"/>
    <xf numFmtId="0" fontId="131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vertical="top"/>
    </xf>
    <xf numFmtId="0" fontId="131" fillId="2" borderId="11" xfId="0" applyFont="1" applyFill="1" applyBorder="1"/>
    <xf numFmtId="0" fontId="8" fillId="2" borderId="11" xfId="0" applyFont="1" applyFill="1" applyBorder="1"/>
    <xf numFmtId="166" fontId="8" fillId="2" borderId="11" xfId="0" applyNumberFormat="1" applyFont="1" applyFill="1" applyBorder="1" applyAlignment="1">
      <alignment horizontal="center"/>
    </xf>
    <xf numFmtId="166" fontId="9" fillId="2" borderId="32" xfId="0" applyNumberFormat="1" applyFont="1" applyFill="1" applyBorder="1"/>
    <xf numFmtId="0" fontId="9" fillId="2" borderId="33" xfId="0" applyFont="1" applyFill="1" applyBorder="1"/>
    <xf numFmtId="0" fontId="9" fillId="2" borderId="36" xfId="0" applyFont="1" applyFill="1" applyBorder="1"/>
    <xf numFmtId="43" fontId="8" fillId="2" borderId="34" xfId="1" applyFont="1" applyFill="1" applyBorder="1"/>
    <xf numFmtId="168" fontId="8" fillId="2" borderId="22" xfId="1" applyNumberFormat="1" applyFont="1" applyFill="1" applyBorder="1"/>
    <xf numFmtId="168" fontId="8" fillId="2" borderId="2" xfId="1" applyNumberFormat="1" applyFont="1" applyFill="1" applyBorder="1"/>
    <xf numFmtId="168" fontId="8" fillId="2" borderId="11" xfId="1" applyNumberFormat="1" applyFont="1" applyFill="1" applyBorder="1"/>
    <xf numFmtId="0" fontId="9" fillId="2" borderId="70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168" fontId="102" fillId="2" borderId="70" xfId="1" applyNumberFormat="1" applyFont="1" applyFill="1" applyBorder="1" applyAlignment="1">
      <alignment horizontal="left" vertical="center" indent="1"/>
    </xf>
    <xf numFmtId="0" fontId="102" fillId="2" borderId="16" xfId="2" applyFont="1" applyFill="1" applyBorder="1" applyAlignment="1">
      <alignment horizontal="left" vertical="center"/>
    </xf>
    <xf numFmtId="0" fontId="102" fillId="2" borderId="0" xfId="2" applyFont="1" applyFill="1" applyAlignment="1">
      <alignment horizontal="left" vertical="center"/>
    </xf>
    <xf numFmtId="0" fontId="102" fillId="2" borderId="17" xfId="2" applyFont="1" applyFill="1" applyBorder="1" applyAlignment="1">
      <alignment horizontal="right" vertical="center"/>
    </xf>
    <xf numFmtId="43" fontId="102" fillId="2" borderId="16" xfId="1" applyFont="1" applyFill="1" applyBorder="1" applyAlignment="1">
      <alignment horizontal="center" vertical="center" wrapText="1"/>
    </xf>
    <xf numFmtId="0" fontId="102" fillId="2" borderId="15" xfId="2" applyFont="1" applyFill="1" applyBorder="1" applyAlignment="1">
      <alignment horizontal="center" vertical="center"/>
    </xf>
    <xf numFmtId="4" fontId="102" fillId="2" borderId="15" xfId="2" applyNumberFormat="1" applyFont="1" applyFill="1" applyBorder="1" applyAlignment="1">
      <alignment horizontal="center"/>
    </xf>
    <xf numFmtId="43" fontId="104" fillId="2" borderId="15" xfId="1" applyFont="1" applyFill="1" applyBorder="1" applyAlignment="1">
      <alignment horizontal="center"/>
    </xf>
    <xf numFmtId="43" fontId="104" fillId="2" borderId="9" xfId="1" applyFont="1" applyFill="1" applyBorder="1" applyAlignment="1">
      <alignment horizontal="center"/>
    </xf>
    <xf numFmtId="0" fontId="9" fillId="2" borderId="50" xfId="0" applyFont="1" applyFill="1" applyBorder="1" applyAlignment="1">
      <alignment horizontal="left" vertical="center"/>
    </xf>
    <xf numFmtId="0" fontId="9" fillId="2" borderId="49" xfId="0" quotePrefix="1" applyFont="1" applyFill="1" applyBorder="1" applyAlignment="1">
      <alignment horizontal="left" vertical="center"/>
    </xf>
    <xf numFmtId="0" fontId="6" fillId="2" borderId="70" xfId="2" applyFont="1" applyFill="1" applyBorder="1" applyAlignment="1">
      <alignment horizontal="left" vertical="center"/>
    </xf>
    <xf numFmtId="0" fontId="9" fillId="2" borderId="70" xfId="0" quotePrefix="1" applyFont="1" applyFill="1" applyBorder="1" applyAlignment="1">
      <alignment horizontal="right" vertical="center"/>
    </xf>
    <xf numFmtId="0" fontId="8" fillId="2" borderId="70" xfId="0" quotePrefix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0" fontId="8" fillId="2" borderId="64" xfId="0" quotePrefix="1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 wrapText="1"/>
    </xf>
    <xf numFmtId="43" fontId="8" fillId="2" borderId="64" xfId="1" applyFont="1" applyFill="1" applyBorder="1" applyAlignment="1">
      <alignment horizontal="center" vertical="center"/>
    </xf>
    <xf numFmtId="43" fontId="7" fillId="0" borderId="63" xfId="1" applyFont="1" applyFill="1" applyBorder="1" applyAlignment="1">
      <alignment horizontal="center"/>
    </xf>
    <xf numFmtId="43" fontId="8" fillId="0" borderId="63" xfId="1" applyFont="1" applyFill="1" applyBorder="1" applyAlignment="1">
      <alignment horizontal="right" vertical="center"/>
    </xf>
    <xf numFmtId="43" fontId="7" fillId="0" borderId="63" xfId="1" applyFont="1" applyFill="1" applyBorder="1" applyAlignment="1">
      <alignment horizontal="right" vertical="center"/>
    </xf>
    <xf numFmtId="0" fontId="123" fillId="0" borderId="1" xfId="0" applyFont="1" applyBorder="1" applyAlignment="1">
      <alignment horizontal="center" vertical="center"/>
    </xf>
    <xf numFmtId="0" fontId="124" fillId="2" borderId="3" xfId="0" applyFont="1" applyFill="1" applyBorder="1" applyAlignment="1">
      <alignment vertical="center" wrapText="1"/>
    </xf>
    <xf numFmtId="4" fontId="25" fillId="0" borderId="3" xfId="1" applyNumberFormat="1" applyFont="1" applyFill="1" applyBorder="1" applyAlignment="1">
      <alignment horizontal="right" vertical="center"/>
    </xf>
    <xf numFmtId="0" fontId="88" fillId="2" borderId="1" xfId="0" applyFont="1" applyFill="1" applyBorder="1" applyAlignment="1">
      <alignment horizontal="left"/>
    </xf>
    <xf numFmtId="0" fontId="80" fillId="2" borderId="25" xfId="0" applyFont="1" applyFill="1" applyBorder="1" applyAlignment="1">
      <alignment horizontal="center"/>
    </xf>
    <xf numFmtId="0" fontId="80" fillId="2" borderId="26" xfId="0" applyFont="1" applyFill="1" applyBorder="1" applyAlignment="1">
      <alignment horizontal="center"/>
    </xf>
    <xf numFmtId="0" fontId="80" fillId="2" borderId="19" xfId="0" applyFont="1" applyFill="1" applyBorder="1" applyAlignment="1">
      <alignment horizontal="center"/>
    </xf>
    <xf numFmtId="0" fontId="90" fillId="2" borderId="0" xfId="0" applyFont="1" applyFill="1" applyAlignment="1">
      <alignment horizontal="center"/>
    </xf>
    <xf numFmtId="0" fontId="91" fillId="2" borderId="0" xfId="0" applyFont="1" applyFill="1" applyAlignment="1">
      <alignment horizontal="center"/>
    </xf>
    <xf numFmtId="0" fontId="76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4" fontId="88" fillId="0" borderId="0" xfId="2" applyNumberFormat="1" applyFont="1" applyAlignment="1">
      <alignment horizontal="center" vertical="center"/>
    </xf>
    <xf numFmtId="0" fontId="88" fillId="2" borderId="13" xfId="2" applyFont="1" applyFill="1" applyBorder="1" applyAlignment="1">
      <alignment horizontal="center" vertical="center"/>
    </xf>
    <xf numFmtId="0" fontId="88" fillId="2" borderId="20" xfId="2" applyFont="1" applyFill="1" applyBorder="1" applyAlignment="1">
      <alignment horizontal="center" vertical="center"/>
    </xf>
    <xf numFmtId="0" fontId="88" fillId="2" borderId="16" xfId="2" applyFont="1" applyFill="1" applyBorder="1" applyAlignment="1">
      <alignment horizontal="center" vertical="center"/>
    </xf>
    <xf numFmtId="0" fontId="88" fillId="2" borderId="0" xfId="2" applyFont="1" applyFill="1" applyAlignment="1">
      <alignment horizontal="center" vertical="center"/>
    </xf>
    <xf numFmtId="0" fontId="88" fillId="2" borderId="17" xfId="2" applyFont="1" applyFill="1" applyBorder="1" applyAlignment="1">
      <alignment horizontal="center" vertical="center"/>
    </xf>
    <xf numFmtId="0" fontId="88" fillId="2" borderId="21" xfId="2" applyFont="1" applyFill="1" applyBorder="1" applyAlignment="1">
      <alignment horizontal="center" vertical="center"/>
    </xf>
    <xf numFmtId="0" fontId="88" fillId="2" borderId="22" xfId="2" applyFont="1" applyFill="1" applyBorder="1" applyAlignment="1">
      <alignment horizontal="center" vertical="center"/>
    </xf>
    <xf numFmtId="0" fontId="88" fillId="2" borderId="23" xfId="2" applyFont="1" applyFill="1" applyBorder="1" applyAlignment="1">
      <alignment horizontal="center" vertical="center"/>
    </xf>
    <xf numFmtId="0" fontId="88" fillId="2" borderId="15" xfId="2" applyFont="1" applyFill="1" applyBorder="1" applyAlignment="1">
      <alignment horizontal="center" vertical="center" wrapText="1"/>
    </xf>
    <xf numFmtId="0" fontId="88" fillId="2" borderId="24" xfId="2" applyFont="1" applyFill="1" applyBorder="1" applyAlignment="1">
      <alignment horizontal="center" vertical="center" wrapText="1"/>
    </xf>
    <xf numFmtId="0" fontId="88" fillId="2" borderId="15" xfId="2" applyFont="1" applyFill="1" applyBorder="1" applyAlignment="1">
      <alignment horizontal="center" vertical="center"/>
    </xf>
    <xf numFmtId="0" fontId="88" fillId="2" borderId="24" xfId="2" applyFont="1" applyFill="1" applyBorder="1" applyAlignment="1">
      <alignment horizontal="center" vertical="center"/>
    </xf>
    <xf numFmtId="4" fontId="88" fillId="2" borderId="41" xfId="2" applyNumberFormat="1" applyFont="1" applyFill="1" applyBorder="1" applyAlignment="1">
      <alignment horizontal="center" vertical="center"/>
    </xf>
    <xf numFmtId="4" fontId="88" fillId="2" borderId="15" xfId="2" applyNumberFormat="1" applyFont="1" applyFill="1" applyBorder="1" applyAlignment="1">
      <alignment horizontal="center" vertical="center"/>
    </xf>
    <xf numFmtId="4" fontId="88" fillId="2" borderId="24" xfId="2" applyNumberFormat="1" applyFont="1" applyFill="1" applyBorder="1" applyAlignment="1">
      <alignment horizontal="center" vertical="center"/>
    </xf>
    <xf numFmtId="4" fontId="88" fillId="2" borderId="9" xfId="2" applyNumberFormat="1" applyFont="1" applyFill="1" applyBorder="1" applyAlignment="1">
      <alignment horizontal="center" vertical="center"/>
    </xf>
    <xf numFmtId="0" fontId="88" fillId="0" borderId="0" xfId="2" applyFont="1" applyAlignment="1">
      <alignment horizontal="center" vertical="center" wrapText="1"/>
    </xf>
    <xf numFmtId="0" fontId="88" fillId="0" borderId="0" xfId="2" applyFont="1" applyAlignment="1">
      <alignment horizontal="center" vertical="center"/>
    </xf>
    <xf numFmtId="0" fontId="75" fillId="2" borderId="35" xfId="0" applyFont="1" applyFill="1" applyBorder="1" applyAlignment="1">
      <alignment horizontal="right"/>
    </xf>
    <xf numFmtId="0" fontId="75" fillId="2" borderId="36" xfId="0" applyFont="1" applyFill="1" applyBorder="1" applyAlignment="1">
      <alignment horizontal="right"/>
    </xf>
    <xf numFmtId="0" fontId="75" fillId="2" borderId="37" xfId="0" applyFont="1" applyFill="1" applyBorder="1" applyAlignment="1">
      <alignment horizontal="right"/>
    </xf>
    <xf numFmtId="0" fontId="88" fillId="2" borderId="2" xfId="0" applyFont="1" applyFill="1" applyBorder="1" applyAlignment="1">
      <alignment horizontal="right" vertical="center"/>
    </xf>
    <xf numFmtId="0" fontId="88" fillId="2" borderId="3" xfId="0" applyFont="1" applyFill="1" applyBorder="1" applyAlignment="1">
      <alignment horizontal="right" vertical="center"/>
    </xf>
    <xf numFmtId="0" fontId="88" fillId="2" borderId="2" xfId="0" applyFont="1" applyFill="1" applyBorder="1" applyAlignment="1">
      <alignment horizontal="right"/>
    </xf>
    <xf numFmtId="0" fontId="88" fillId="2" borderId="3" xfId="0" applyFont="1" applyFill="1" applyBorder="1" applyAlignment="1">
      <alignment horizontal="right"/>
    </xf>
    <xf numFmtId="4" fontId="88" fillId="0" borderId="0" xfId="2" applyNumberFormat="1" applyFont="1" applyAlignment="1">
      <alignment horizontal="center"/>
    </xf>
    <xf numFmtId="3" fontId="75" fillId="2" borderId="18" xfId="12" applyNumberFormat="1" applyFont="1" applyFill="1" applyBorder="1" applyAlignment="1">
      <alignment horizontal="center" vertical="center"/>
    </xf>
    <xf numFmtId="3" fontId="75" fillId="2" borderId="24" xfId="12" applyNumberFormat="1" applyFont="1" applyFill="1" applyBorder="1" applyAlignment="1">
      <alignment horizontal="center" vertical="center"/>
    </xf>
    <xf numFmtId="0" fontId="75" fillId="2" borderId="1" xfId="12" applyFont="1" applyFill="1" applyBorder="1" applyAlignment="1">
      <alignment horizontal="center" vertical="center"/>
    </xf>
    <xf numFmtId="0" fontId="75" fillId="2" borderId="3" xfId="12" applyFont="1" applyFill="1" applyBorder="1" applyAlignment="1">
      <alignment horizontal="center" vertical="center"/>
    </xf>
    <xf numFmtId="0" fontId="75" fillId="2" borderId="1" xfId="12" applyFont="1" applyFill="1" applyBorder="1" applyAlignment="1">
      <alignment horizontal="right"/>
    </xf>
    <xf numFmtId="0" fontId="75" fillId="2" borderId="2" xfId="12" applyFont="1" applyFill="1" applyBorder="1" applyAlignment="1">
      <alignment horizontal="right"/>
    </xf>
    <xf numFmtId="0" fontId="75" fillId="2" borderId="3" xfId="12" applyFont="1" applyFill="1" applyBorder="1" applyAlignment="1">
      <alignment horizontal="right"/>
    </xf>
    <xf numFmtId="0" fontId="75" fillId="2" borderId="18" xfId="12" applyFont="1" applyFill="1" applyBorder="1" applyAlignment="1">
      <alignment horizontal="center" vertical="center"/>
    </xf>
    <xf numFmtId="0" fontId="75" fillId="2" borderId="24" xfId="12" applyFont="1" applyFill="1" applyBorder="1" applyAlignment="1">
      <alignment horizontal="center" vertical="center"/>
    </xf>
    <xf numFmtId="0" fontId="75" fillId="2" borderId="18" xfId="12" applyFont="1" applyFill="1" applyBorder="1" applyAlignment="1">
      <alignment horizontal="center" vertical="center" wrapText="1"/>
    </xf>
    <xf numFmtId="0" fontId="75" fillId="2" borderId="24" xfId="12" applyFont="1" applyFill="1" applyBorder="1" applyAlignment="1">
      <alignment horizontal="center" vertical="center" wrapText="1"/>
    </xf>
    <xf numFmtId="43" fontId="75" fillId="2" borderId="7" xfId="1" applyFont="1" applyFill="1" applyBorder="1" applyAlignment="1">
      <alignment horizontal="right"/>
    </xf>
    <xf numFmtId="43" fontId="75" fillId="2" borderId="2" xfId="1" applyFont="1" applyFill="1" applyBorder="1" applyAlignment="1">
      <alignment horizontal="right"/>
    </xf>
    <xf numFmtId="43" fontId="75" fillId="2" borderId="3" xfId="1" applyFont="1" applyFill="1" applyBorder="1" applyAlignment="1">
      <alignment horizontal="right"/>
    </xf>
    <xf numFmtId="43" fontId="75" fillId="2" borderId="35" xfId="1" applyFont="1" applyFill="1" applyBorder="1" applyAlignment="1">
      <alignment horizontal="right" vertical="center"/>
    </xf>
    <xf numFmtId="43" fontId="75" fillId="2" borderId="36" xfId="1" applyFont="1" applyFill="1" applyBorder="1" applyAlignment="1">
      <alignment horizontal="right" vertical="center"/>
    </xf>
    <xf numFmtId="43" fontId="75" fillId="2" borderId="37" xfId="1" applyFont="1" applyFill="1" applyBorder="1" applyAlignment="1">
      <alignment horizontal="right" vertical="center"/>
    </xf>
    <xf numFmtId="0" fontId="82" fillId="2" borderId="28" xfId="0" applyFont="1" applyFill="1" applyBorder="1" applyAlignment="1">
      <alignment horizontal="center"/>
    </xf>
    <xf numFmtId="0" fontId="82" fillId="2" borderId="14" xfId="0" applyFont="1" applyFill="1" applyBorder="1" applyAlignment="1">
      <alignment horizontal="center"/>
    </xf>
    <xf numFmtId="0" fontId="82" fillId="2" borderId="29" xfId="0" applyFont="1" applyFill="1" applyBorder="1" applyAlignment="1">
      <alignment horizontal="center"/>
    </xf>
    <xf numFmtId="0" fontId="83" fillId="2" borderId="27" xfId="0" applyFont="1" applyFill="1" applyBorder="1" applyAlignment="1">
      <alignment horizontal="center"/>
    </xf>
    <xf numFmtId="0" fontId="83" fillId="2" borderId="22" xfId="0" applyFont="1" applyFill="1" applyBorder="1" applyAlignment="1">
      <alignment horizontal="center"/>
    </xf>
    <xf numFmtId="0" fontId="83" fillId="2" borderId="30" xfId="0" applyFont="1" applyFill="1" applyBorder="1" applyAlignment="1">
      <alignment horizontal="center"/>
    </xf>
    <xf numFmtId="0" fontId="75" fillId="2" borderId="86" xfId="2" applyFont="1" applyFill="1" applyBorder="1" applyAlignment="1">
      <alignment horizontal="center" vertical="center"/>
    </xf>
    <xf numFmtId="0" fontId="75" fillId="2" borderId="13" xfId="2" applyFont="1" applyFill="1" applyBorder="1" applyAlignment="1">
      <alignment horizontal="center" vertical="center"/>
    </xf>
    <xf numFmtId="0" fontId="75" fillId="2" borderId="87" xfId="2" applyFont="1" applyFill="1" applyBorder="1" applyAlignment="1">
      <alignment horizontal="center" vertical="center"/>
    </xf>
    <xf numFmtId="0" fontId="75" fillId="2" borderId="14" xfId="2" applyFont="1" applyFill="1" applyBorder="1" applyAlignment="1">
      <alignment horizontal="center" vertical="center"/>
    </xf>
    <xf numFmtId="0" fontId="75" fillId="2" borderId="88" xfId="2" applyFont="1" applyFill="1" applyBorder="1" applyAlignment="1">
      <alignment horizontal="center" vertical="center"/>
    </xf>
    <xf numFmtId="0" fontId="75" fillId="2" borderId="16" xfId="2" applyFont="1" applyFill="1" applyBorder="1" applyAlignment="1">
      <alignment horizontal="center" vertical="center"/>
    </xf>
    <xf numFmtId="0" fontId="75" fillId="2" borderId="0" xfId="2" applyFont="1" applyFill="1" applyAlignment="1">
      <alignment horizontal="center" vertical="center"/>
    </xf>
    <xf numFmtId="0" fontId="75" fillId="2" borderId="17" xfId="2" applyFont="1" applyFill="1" applyBorder="1" applyAlignment="1">
      <alignment horizontal="center" vertical="center"/>
    </xf>
    <xf numFmtId="43" fontId="75" fillId="2" borderId="41" xfId="1" applyFont="1" applyFill="1" applyBorder="1" applyAlignment="1">
      <alignment horizontal="center" vertical="center" wrapText="1"/>
    </xf>
    <xf numFmtId="43" fontId="75" fillId="2" borderId="15" xfId="1" applyFont="1" applyFill="1" applyBorder="1" applyAlignment="1">
      <alignment horizontal="center" vertical="center" wrapText="1"/>
    </xf>
    <xf numFmtId="0" fontId="75" fillId="2" borderId="41" xfId="2" applyFont="1" applyFill="1" applyBorder="1" applyAlignment="1">
      <alignment horizontal="center" vertical="center"/>
    </xf>
    <xf numFmtId="0" fontId="75" fillId="2" borderId="15" xfId="2" applyFont="1" applyFill="1" applyBorder="1" applyAlignment="1">
      <alignment horizontal="center" vertical="center"/>
    </xf>
    <xf numFmtId="4" fontId="75" fillId="2" borderId="89" xfId="2" applyNumberFormat="1" applyFont="1" applyFill="1" applyBorder="1" applyAlignment="1">
      <alignment horizontal="center"/>
    </xf>
    <xf numFmtId="4" fontId="75" fillId="2" borderId="90" xfId="2" applyNumberFormat="1" applyFont="1" applyFill="1" applyBorder="1" applyAlignment="1">
      <alignment horizontal="center"/>
    </xf>
    <xf numFmtId="0" fontId="87" fillId="2" borderId="0" xfId="0" applyFont="1" applyFill="1" applyAlignment="1">
      <alignment horizontal="center"/>
    </xf>
    <xf numFmtId="0" fontId="75" fillId="2" borderId="0" xfId="0" applyFont="1" applyFill="1" applyAlignment="1">
      <alignment horizontal="center"/>
    </xf>
    <xf numFmtId="4" fontId="88" fillId="2" borderId="0" xfId="2" applyNumberFormat="1" applyFont="1" applyFill="1" applyAlignment="1">
      <alignment horizontal="center" vertical="center"/>
    </xf>
    <xf numFmtId="4" fontId="75" fillId="2" borderId="41" xfId="2" applyNumberFormat="1" applyFont="1" applyFill="1" applyBorder="1" applyAlignment="1">
      <alignment horizontal="center" vertical="center"/>
    </xf>
    <xf numFmtId="4" fontId="75" fillId="2" borderId="15" xfId="2" applyNumberFormat="1" applyFont="1" applyFill="1" applyBorder="1" applyAlignment="1">
      <alignment horizontal="center" vertical="center"/>
    </xf>
    <xf numFmtId="4" fontId="75" fillId="2" borderId="91" xfId="2" applyNumberFormat="1" applyFont="1" applyFill="1" applyBorder="1" applyAlignment="1">
      <alignment horizontal="center" vertical="center"/>
    </xf>
    <xf numFmtId="4" fontId="75" fillId="2" borderId="9" xfId="2" applyNumberFormat="1" applyFont="1" applyFill="1" applyBorder="1" applyAlignment="1">
      <alignment horizontal="center" vertical="center"/>
    </xf>
    <xf numFmtId="0" fontId="88" fillId="2" borderId="0" xfId="2" applyFont="1" applyFill="1" applyAlignment="1">
      <alignment horizontal="center" vertical="center" wrapText="1"/>
    </xf>
    <xf numFmtId="4" fontId="88" fillId="2" borderId="0" xfId="2" applyNumberFormat="1" applyFont="1" applyFill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6" fillId="0" borderId="0" xfId="2" applyNumberFormat="1" applyFont="1" applyAlignment="1">
      <alignment horizontal="center"/>
    </xf>
    <xf numFmtId="4" fontId="6" fillId="0" borderId="0" xfId="2" applyNumberFormat="1" applyFont="1" applyAlignment="1">
      <alignment horizontal="center" vertic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left" vertical="top" wrapText="1"/>
    </xf>
    <xf numFmtId="0" fontId="7" fillId="2" borderId="51" xfId="0" applyFont="1" applyFill="1" applyBorder="1" applyAlignment="1">
      <alignment horizontal="left" vertical="top" wrapText="1"/>
    </xf>
    <xf numFmtId="4" fontId="6" fillId="2" borderId="89" xfId="2" applyNumberFormat="1" applyFont="1" applyFill="1" applyBorder="1" applyAlignment="1">
      <alignment horizontal="center"/>
    </xf>
    <xf numFmtId="4" fontId="6" fillId="2" borderId="90" xfId="2" applyNumberFormat="1" applyFont="1" applyFill="1" applyBorder="1" applyAlignment="1">
      <alignment horizontal="center"/>
    </xf>
    <xf numFmtId="4" fontId="6" fillId="2" borderId="41" xfId="2" applyNumberFormat="1" applyFont="1" applyFill="1" applyBorder="1" applyAlignment="1">
      <alignment horizontal="center"/>
    </xf>
    <xf numFmtId="4" fontId="6" fillId="2" borderId="15" xfId="2" applyNumberFormat="1" applyFont="1" applyFill="1" applyBorder="1" applyAlignment="1">
      <alignment horizontal="center"/>
    </xf>
    <xf numFmtId="43" fontId="6" fillId="2" borderId="91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2" borderId="86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87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88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/>
    </xf>
    <xf numFmtId="0" fontId="6" fillId="2" borderId="41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24" xfId="2" applyFont="1" applyFill="1" applyBorder="1" applyAlignment="1">
      <alignment horizontal="center" vertical="center" wrapText="1"/>
    </xf>
    <xf numFmtId="0" fontId="6" fillId="2" borderId="41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50" fillId="2" borderId="27" xfId="0" applyFont="1" applyFill="1" applyBorder="1" applyAlignment="1">
      <alignment horizontal="center"/>
    </xf>
    <xf numFmtId="0" fontId="150" fillId="2" borderId="22" xfId="0" applyFont="1" applyFill="1" applyBorder="1" applyAlignment="1">
      <alignment horizontal="center"/>
    </xf>
    <xf numFmtId="0" fontId="150" fillId="2" borderId="30" xfId="0" applyFont="1" applyFill="1" applyBorder="1" applyAlignment="1">
      <alignment horizontal="center"/>
    </xf>
    <xf numFmtId="0" fontId="102" fillId="25" borderId="49" xfId="0" applyFont="1" applyFill="1" applyBorder="1" applyAlignment="1">
      <alignment horizontal="left"/>
    </xf>
    <xf numFmtId="0" fontId="102" fillId="25" borderId="50" xfId="0" applyFont="1" applyFill="1" applyBorder="1" applyAlignment="1">
      <alignment horizontal="left"/>
    </xf>
    <xf numFmtId="0" fontId="102" fillId="25" borderId="51" xfId="0" applyFont="1" applyFill="1" applyBorder="1" applyAlignment="1">
      <alignment horizontal="left"/>
    </xf>
    <xf numFmtId="168" fontId="6" fillId="2" borderId="41" xfId="1" applyNumberFormat="1" applyFont="1" applyFill="1" applyBorder="1" applyAlignment="1">
      <alignment horizontal="center" vertical="center" wrapText="1"/>
    </xf>
    <xf numFmtId="168" fontId="6" fillId="2" borderId="15" xfId="1" applyNumberFormat="1" applyFont="1" applyFill="1" applyBorder="1" applyAlignment="1">
      <alignment horizontal="center" vertical="center" wrapText="1"/>
    </xf>
    <xf numFmtId="168" fontId="6" fillId="2" borderId="24" xfId="1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86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17" fillId="2" borderId="126" xfId="2" applyFont="1" applyFill="1" applyBorder="1" applyAlignment="1">
      <alignment horizontal="center" vertical="center"/>
    </xf>
    <xf numFmtId="0" fontId="17" fillId="2" borderId="87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88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27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12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17" fillId="2" borderId="128" xfId="2" applyFont="1" applyFill="1" applyBorder="1" applyAlignment="1">
      <alignment horizontal="center" vertical="center"/>
    </xf>
    <xf numFmtId="43" fontId="17" fillId="2" borderId="88" xfId="1" applyFont="1" applyFill="1" applyBorder="1" applyAlignment="1">
      <alignment horizontal="center" vertical="center" wrapText="1"/>
    </xf>
    <xf numFmtId="43" fontId="17" fillId="2" borderId="17" xfId="1" applyFont="1" applyFill="1" applyBorder="1" applyAlignment="1">
      <alignment horizontal="center" vertical="center" wrapText="1"/>
    </xf>
    <xf numFmtId="43" fontId="17" fillId="2" borderId="12" xfId="1" applyFont="1" applyFill="1" applyBorder="1" applyAlignment="1">
      <alignment horizontal="center" vertical="center" wrapText="1"/>
    </xf>
    <xf numFmtId="4" fontId="17" fillId="2" borderId="119" xfId="2" applyNumberFormat="1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left" vertical="top" wrapText="1"/>
    </xf>
    <xf numFmtId="0" fontId="8" fillId="2" borderId="51" xfId="0" applyFont="1" applyFill="1" applyBorder="1" applyAlignment="1">
      <alignment horizontal="left" vertical="top" wrapText="1"/>
    </xf>
    <xf numFmtId="4" fontId="17" fillId="2" borderId="91" xfId="2" applyNumberFormat="1" applyFont="1" applyFill="1" applyBorder="1" applyAlignment="1">
      <alignment horizontal="center" vertical="center"/>
    </xf>
    <xf numFmtId="4" fontId="17" fillId="2" borderId="9" xfId="2" applyNumberFormat="1" applyFont="1" applyFill="1" applyBorder="1" applyAlignment="1">
      <alignment horizontal="center" vertical="center"/>
    </xf>
    <xf numFmtId="0" fontId="120" fillId="2" borderId="0" xfId="2" applyFont="1" applyFill="1" applyAlignment="1">
      <alignment horizontal="center" vertical="center"/>
    </xf>
    <xf numFmtId="0" fontId="80" fillId="2" borderId="25" xfId="0" applyFont="1" applyFill="1" applyBorder="1" applyAlignment="1">
      <alignment horizontal="center" vertical="center"/>
    </xf>
    <xf numFmtId="0" fontId="80" fillId="2" borderId="26" xfId="0" applyFont="1" applyFill="1" applyBorder="1" applyAlignment="1">
      <alignment horizontal="center" vertical="center"/>
    </xf>
    <xf numFmtId="0" fontId="80" fillId="2" borderId="1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4" fontId="17" fillId="2" borderId="41" xfId="2" applyNumberFormat="1" applyFont="1" applyFill="1" applyBorder="1" applyAlignment="1">
      <alignment horizontal="center" vertical="center"/>
    </xf>
    <xf numFmtId="4" fontId="17" fillId="2" borderId="15" xfId="2" applyNumberFormat="1" applyFont="1" applyFill="1" applyBorder="1" applyAlignment="1">
      <alignment horizontal="center" vertical="center"/>
    </xf>
    <xf numFmtId="43" fontId="131" fillId="2" borderId="10" xfId="1" applyFont="1" applyFill="1" applyBorder="1" applyAlignment="1">
      <alignment horizontal="left" vertical="center"/>
    </xf>
    <xf numFmtId="0" fontId="132" fillId="2" borderId="11" xfId="0" applyFont="1" applyFill="1" applyBorder="1" applyAlignment="1">
      <alignment horizontal="left" vertical="center"/>
    </xf>
    <xf numFmtId="0" fontId="132" fillId="2" borderId="12" xfId="0" applyFont="1" applyFill="1" applyBorder="1" applyAlignment="1">
      <alignment horizontal="left" vertical="center"/>
    </xf>
    <xf numFmtId="0" fontId="112" fillId="0" borderId="33" xfId="324" applyFont="1" applyBorder="1" applyAlignment="1">
      <alignment horizontal="right"/>
    </xf>
    <xf numFmtId="0" fontId="112" fillId="0" borderId="36" xfId="324" applyFont="1" applyBorder="1" applyAlignment="1">
      <alignment horizontal="right"/>
    </xf>
    <xf numFmtId="0" fontId="112" fillId="0" borderId="140" xfId="324" applyFont="1" applyBorder="1" applyAlignment="1">
      <alignment horizontal="right"/>
    </xf>
    <xf numFmtId="0" fontId="110" fillId="0" borderId="97" xfId="324" applyFont="1" applyBorder="1" applyAlignment="1">
      <alignment horizontal="center"/>
    </xf>
    <xf numFmtId="0" fontId="110" fillId="0" borderId="16" xfId="324" applyFont="1" applyBorder="1" applyAlignment="1">
      <alignment horizontal="center"/>
    </xf>
    <xf numFmtId="0" fontId="110" fillId="0" borderId="99" xfId="324" applyFont="1" applyBorder="1" applyAlignment="1">
      <alignment horizontal="center"/>
    </xf>
    <xf numFmtId="0" fontId="110" fillId="0" borderId="138" xfId="324" applyFont="1" applyBorder="1" applyAlignment="1">
      <alignment horizontal="right"/>
    </xf>
    <xf numFmtId="0" fontId="110" fillId="0" borderId="139" xfId="324" applyFont="1" applyBorder="1" applyAlignment="1">
      <alignment horizontal="right"/>
    </xf>
    <xf numFmtId="0" fontId="97" fillId="2" borderId="49" xfId="6" applyFont="1" applyFill="1" applyBorder="1" applyAlignment="1">
      <alignment horizontal="left"/>
    </xf>
    <xf numFmtId="0" fontId="97" fillId="2" borderId="50" xfId="6" applyFont="1" applyFill="1" applyBorder="1" applyAlignment="1">
      <alignment horizontal="left"/>
    </xf>
    <xf numFmtId="0" fontId="97" fillId="2" borderId="51" xfId="6" applyFont="1" applyFill="1" applyBorder="1" applyAlignment="1">
      <alignment horizontal="left"/>
    </xf>
    <xf numFmtId="43" fontId="142" fillId="2" borderId="49" xfId="1" applyFont="1" applyFill="1" applyBorder="1" applyAlignment="1">
      <alignment horizontal="left" vertical="top"/>
    </xf>
    <xf numFmtId="43" fontId="142" fillId="2" borderId="50" xfId="1" applyFont="1" applyFill="1" applyBorder="1" applyAlignment="1">
      <alignment horizontal="left" vertical="top"/>
    </xf>
    <xf numFmtId="43" fontId="142" fillId="2" borderId="51" xfId="1" applyFont="1" applyFill="1" applyBorder="1" applyAlignment="1">
      <alignment horizontal="left" vertical="top"/>
    </xf>
    <xf numFmtId="43" fontId="132" fillId="26" borderId="49" xfId="1" applyFont="1" applyFill="1" applyBorder="1" applyAlignment="1">
      <alignment horizontal="left" vertical="top"/>
    </xf>
    <xf numFmtId="43" fontId="132" fillId="26" borderId="50" xfId="1" applyFont="1" applyFill="1" applyBorder="1" applyAlignment="1">
      <alignment horizontal="left" vertical="top"/>
    </xf>
    <xf numFmtId="43" fontId="132" fillId="26" borderId="51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04" fillId="2" borderId="86" xfId="2" applyFont="1" applyFill="1" applyBorder="1" applyAlignment="1">
      <alignment horizontal="center" vertical="center"/>
    </xf>
    <xf numFmtId="0" fontId="104" fillId="2" borderId="13" xfId="2" applyFont="1" applyFill="1" applyBorder="1" applyAlignment="1">
      <alignment horizontal="center" vertical="center"/>
    </xf>
    <xf numFmtId="0" fontId="104" fillId="2" borderId="126" xfId="2" applyFont="1" applyFill="1" applyBorder="1" applyAlignment="1">
      <alignment horizontal="center" vertical="center"/>
    </xf>
    <xf numFmtId="0" fontId="104" fillId="2" borderId="87" xfId="2" applyFont="1" applyFill="1" applyBorder="1" applyAlignment="1">
      <alignment horizontal="center" vertical="center"/>
    </xf>
    <xf numFmtId="0" fontId="104" fillId="2" borderId="14" xfId="2" applyFont="1" applyFill="1" applyBorder="1" applyAlignment="1">
      <alignment horizontal="center" vertical="center"/>
    </xf>
    <xf numFmtId="0" fontId="104" fillId="2" borderId="88" xfId="2" applyFont="1" applyFill="1" applyBorder="1" applyAlignment="1">
      <alignment horizontal="center" vertical="center"/>
    </xf>
    <xf numFmtId="0" fontId="104" fillId="2" borderId="16" xfId="2" applyFont="1" applyFill="1" applyBorder="1" applyAlignment="1">
      <alignment horizontal="center" vertical="center"/>
    </xf>
    <xf numFmtId="0" fontId="104" fillId="2" borderId="0" xfId="2" applyFont="1" applyFill="1" applyAlignment="1">
      <alignment horizontal="center" vertical="center"/>
    </xf>
    <xf numFmtId="0" fontId="104" fillId="2" borderId="17" xfId="2" applyFont="1" applyFill="1" applyBorder="1" applyAlignment="1">
      <alignment horizontal="center" vertical="center"/>
    </xf>
    <xf numFmtId="0" fontId="104" fillId="2" borderId="127" xfId="2" applyFont="1" applyFill="1" applyBorder="1" applyAlignment="1">
      <alignment horizontal="center" vertical="center"/>
    </xf>
    <xf numFmtId="0" fontId="104" fillId="2" borderId="11" xfId="2" applyFont="1" applyFill="1" applyBorder="1" applyAlignment="1">
      <alignment horizontal="center" vertical="center"/>
    </xf>
    <xf numFmtId="0" fontId="104" fillId="2" borderId="12" xfId="2" applyFont="1" applyFill="1" applyBorder="1" applyAlignment="1">
      <alignment horizontal="center" vertical="center"/>
    </xf>
    <xf numFmtId="3" fontId="104" fillId="2" borderId="41" xfId="2" applyNumberFormat="1" applyFont="1" applyFill="1" applyBorder="1" applyAlignment="1">
      <alignment horizontal="center" vertical="center" wrapText="1"/>
    </xf>
    <xf numFmtId="3" fontId="104" fillId="2" borderId="15" xfId="2" applyNumberFormat="1" applyFont="1" applyFill="1" applyBorder="1" applyAlignment="1">
      <alignment horizontal="center" vertical="center" wrapText="1"/>
    </xf>
    <xf numFmtId="3" fontId="104" fillId="2" borderId="128" xfId="2" applyNumberFormat="1" applyFont="1" applyFill="1" applyBorder="1" applyAlignment="1">
      <alignment horizontal="center" vertical="center" wrapText="1"/>
    </xf>
    <xf numFmtId="0" fontId="104" fillId="2" borderId="41" xfId="2" applyFont="1" applyFill="1" applyBorder="1" applyAlignment="1">
      <alignment horizontal="center" vertical="center"/>
    </xf>
    <xf numFmtId="0" fontId="104" fillId="2" borderId="15" xfId="2" applyFont="1" applyFill="1" applyBorder="1" applyAlignment="1">
      <alignment horizontal="center" vertical="center"/>
    </xf>
    <xf numFmtId="0" fontId="104" fillId="2" borderId="128" xfId="2" applyFont="1" applyFill="1" applyBorder="1" applyAlignment="1">
      <alignment horizontal="center" vertical="center"/>
    </xf>
    <xf numFmtId="4" fontId="104" fillId="2" borderId="89" xfId="2" applyNumberFormat="1" applyFont="1" applyFill="1" applyBorder="1" applyAlignment="1">
      <alignment horizontal="center"/>
    </xf>
    <xf numFmtId="4" fontId="104" fillId="2" borderId="90" xfId="2" applyNumberFormat="1" applyFont="1" applyFill="1" applyBorder="1" applyAlignment="1">
      <alignment horizontal="center"/>
    </xf>
    <xf numFmtId="4" fontId="104" fillId="2" borderId="91" xfId="2" applyNumberFormat="1" applyFont="1" applyFill="1" applyBorder="1" applyAlignment="1">
      <alignment horizontal="center" vertical="center"/>
    </xf>
    <xf numFmtId="4" fontId="104" fillId="2" borderId="9" xfId="2" applyNumberFormat="1" applyFont="1" applyFill="1" applyBorder="1" applyAlignment="1">
      <alignment horizontal="center" vertical="center"/>
    </xf>
    <xf numFmtId="0" fontId="121" fillId="2" borderId="50" xfId="0" applyFont="1" applyFill="1" applyBorder="1" applyAlignment="1">
      <alignment horizontal="left" vertical="center" wrapText="1"/>
    </xf>
    <xf numFmtId="0" fontId="121" fillId="2" borderId="51" xfId="0" applyFont="1" applyFill="1" applyBorder="1" applyAlignment="1">
      <alignment horizontal="left" vertical="center" wrapText="1"/>
    </xf>
    <xf numFmtId="0" fontId="121" fillId="2" borderId="50" xfId="0" quotePrefix="1" applyFont="1" applyFill="1" applyBorder="1" applyAlignment="1">
      <alignment horizontal="left" vertical="top" wrapText="1"/>
    </xf>
    <xf numFmtId="0" fontId="121" fillId="2" borderId="51" xfId="0" quotePrefix="1" applyFont="1" applyFill="1" applyBorder="1" applyAlignment="1">
      <alignment horizontal="left" vertical="top" wrapText="1"/>
    </xf>
    <xf numFmtId="43" fontId="131" fillId="2" borderId="136" xfId="1" applyFont="1" applyFill="1" applyBorder="1" applyAlignment="1">
      <alignment horizontal="left" vertical="center"/>
    </xf>
    <xf numFmtId="0" fontId="132" fillId="2" borderId="75" xfId="0" applyFont="1" applyFill="1" applyBorder="1" applyAlignment="1">
      <alignment horizontal="left" vertical="center"/>
    </xf>
    <xf numFmtId="0" fontId="132" fillId="2" borderId="123" xfId="0" applyFont="1" applyFill="1" applyBorder="1" applyAlignment="1">
      <alignment horizontal="left" vertical="center"/>
    </xf>
    <xf numFmtId="40" fontId="149" fillId="2" borderId="52" xfId="4" applyFont="1" applyFill="1" applyBorder="1" applyAlignment="1">
      <alignment horizontal="center"/>
    </xf>
    <xf numFmtId="43" fontId="97" fillId="2" borderId="50" xfId="1" applyFont="1" applyFill="1" applyBorder="1" applyAlignment="1">
      <alignment horizontal="left" vertical="top" wrapText="1"/>
    </xf>
    <xf numFmtId="43" fontId="17" fillId="0" borderId="88" xfId="1" applyFont="1" applyFill="1" applyBorder="1" applyAlignment="1">
      <alignment horizontal="center" vertical="center" wrapText="1"/>
    </xf>
    <xf numFmtId="43" fontId="17" fillId="0" borderId="17" xfId="1" applyFont="1" applyFill="1" applyBorder="1" applyAlignment="1">
      <alignment horizontal="center" vertical="center" wrapText="1"/>
    </xf>
    <xf numFmtId="43" fontId="17" fillId="0" borderId="12" xfId="1" applyFont="1" applyFill="1" applyBorder="1" applyAlignment="1">
      <alignment horizontal="center" vertical="center" wrapText="1"/>
    </xf>
    <xf numFmtId="4" fontId="17" fillId="0" borderId="119" xfId="2" applyNumberFormat="1" applyFont="1" applyBorder="1" applyAlignment="1">
      <alignment horizontal="center" vertical="center"/>
    </xf>
    <xf numFmtId="43" fontId="9" fillId="0" borderId="21" xfId="1" applyFont="1" applyFill="1" applyBorder="1" applyAlignment="1">
      <alignment horizontal="left" vertical="center"/>
    </xf>
    <xf numFmtId="0" fontId="144" fillId="0" borderId="22" xfId="0" applyFont="1" applyBorder="1" applyAlignment="1">
      <alignment horizontal="left" vertical="center"/>
    </xf>
    <xf numFmtId="0" fontId="144" fillId="0" borderId="23" xfId="0" applyFont="1" applyBorder="1" applyAlignment="1">
      <alignment horizontal="left" vertical="center"/>
    </xf>
    <xf numFmtId="4" fontId="17" fillId="0" borderId="41" xfId="2" applyNumberFormat="1" applyFont="1" applyBorder="1" applyAlignment="1">
      <alignment horizontal="center" vertical="center"/>
    </xf>
    <xf numFmtId="4" fontId="17" fillId="0" borderId="15" xfId="2" applyNumberFormat="1" applyFont="1" applyBorder="1" applyAlignment="1">
      <alignment horizontal="center" vertical="center"/>
    </xf>
    <xf numFmtId="4" fontId="17" fillId="0" borderId="91" xfId="2" applyNumberFormat="1" applyFont="1" applyBorder="1" applyAlignment="1">
      <alignment horizontal="center" vertical="center"/>
    </xf>
    <xf numFmtId="4" fontId="17" fillId="0" borderId="9" xfId="2" applyNumberFormat="1" applyFont="1" applyBorder="1" applyAlignment="1">
      <alignment horizontal="center" vertical="center"/>
    </xf>
    <xf numFmtId="43" fontId="9" fillId="0" borderId="1" xfId="1" applyFont="1" applyFill="1" applyBorder="1" applyAlignment="1">
      <alignment horizontal="left" vertical="center"/>
    </xf>
    <xf numFmtId="0" fontId="144" fillId="0" borderId="2" xfId="0" applyFont="1" applyBorder="1" applyAlignment="1">
      <alignment horizontal="left" vertical="center"/>
    </xf>
    <xf numFmtId="0" fontId="144" fillId="0" borderId="3" xfId="0" applyFont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 wrapText="1"/>
    </xf>
    <xf numFmtId="4" fontId="6" fillId="2" borderId="21" xfId="2" applyNumberFormat="1" applyFont="1" applyFill="1" applyBorder="1" applyAlignment="1">
      <alignment horizontal="center"/>
    </xf>
    <xf numFmtId="4" fontId="6" fillId="2" borderId="23" xfId="2" applyNumberFormat="1" applyFont="1" applyFill="1" applyBorder="1" applyAlignment="1">
      <alignment horizontal="center"/>
    </xf>
    <xf numFmtId="4" fontId="6" fillId="2" borderId="9" xfId="2" applyNumberFormat="1" applyFont="1" applyFill="1" applyBorder="1" applyAlignment="1">
      <alignment horizontal="center" vertical="center"/>
    </xf>
    <xf numFmtId="4" fontId="6" fillId="0" borderId="21" xfId="2" applyNumberFormat="1" applyFont="1" applyBorder="1" applyAlignment="1">
      <alignment horizontal="center"/>
    </xf>
    <xf numFmtId="4" fontId="6" fillId="0" borderId="23" xfId="2" applyNumberFormat="1" applyFont="1" applyBorder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13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4" fontId="6" fillId="0" borderId="9" xfId="2" applyNumberFormat="1" applyFont="1" applyBorder="1" applyAlignment="1">
      <alignment horizontal="center" vertical="center"/>
    </xf>
    <xf numFmtId="43" fontId="4" fillId="2" borderId="33" xfId="1" applyFont="1" applyFill="1" applyBorder="1" applyAlignment="1">
      <alignment horizontal="center"/>
    </xf>
    <xf numFmtId="43" fontId="4" fillId="2" borderId="34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4" fillId="2" borderId="31" xfId="1" applyFont="1" applyFill="1" applyBorder="1" applyAlignment="1">
      <alignment horizontal="center"/>
    </xf>
    <xf numFmtId="43" fontId="6" fillId="2" borderId="21" xfId="1" applyFont="1" applyFill="1" applyBorder="1" applyAlignment="1">
      <alignment horizontal="center"/>
    </xf>
    <xf numFmtId="43" fontId="6" fillId="2" borderId="23" xfId="1" applyFont="1" applyFill="1" applyBorder="1" applyAlignment="1">
      <alignment horizontal="center"/>
    </xf>
    <xf numFmtId="0" fontId="26" fillId="0" borderId="0" xfId="2" applyFont="1" applyAlignment="1">
      <alignment horizontal="center" vertical="center" wrapText="1"/>
    </xf>
    <xf numFmtId="0" fontId="26" fillId="0" borderId="0" xfId="2" applyFont="1" applyAlignment="1">
      <alignment horizontal="center" vertical="center"/>
    </xf>
  </cellXfs>
  <cellStyles count="334">
    <cellStyle name="20% - ส่วนที่ถูกเน้น1 2" xfId="60" xr:uid="{00000000-0005-0000-0000-000000000000}"/>
    <cellStyle name="20% - ส่วนที่ถูกเน้น1 3" xfId="61" xr:uid="{00000000-0005-0000-0000-000001000000}"/>
    <cellStyle name="20% - ส่วนที่ถูกเน้น1 4" xfId="62" xr:uid="{00000000-0005-0000-0000-000002000000}"/>
    <cellStyle name="20% - ส่วนที่ถูกเน้น1 5" xfId="63" xr:uid="{00000000-0005-0000-0000-000003000000}"/>
    <cellStyle name="20% - ส่วนที่ถูกเน้น2 2" xfId="64" xr:uid="{00000000-0005-0000-0000-000004000000}"/>
    <cellStyle name="20% - ส่วนที่ถูกเน้น2 3" xfId="65" xr:uid="{00000000-0005-0000-0000-000005000000}"/>
    <cellStyle name="20% - ส่วนที่ถูกเน้น2 4" xfId="66" xr:uid="{00000000-0005-0000-0000-000006000000}"/>
    <cellStyle name="20% - ส่วนที่ถูกเน้น2 5" xfId="67" xr:uid="{00000000-0005-0000-0000-000007000000}"/>
    <cellStyle name="20% - ส่วนที่ถูกเน้น3 2" xfId="68" xr:uid="{00000000-0005-0000-0000-000008000000}"/>
    <cellStyle name="20% - ส่วนที่ถูกเน้น3 3" xfId="69" xr:uid="{00000000-0005-0000-0000-000009000000}"/>
    <cellStyle name="20% - ส่วนที่ถูกเน้น3 4" xfId="70" xr:uid="{00000000-0005-0000-0000-00000A000000}"/>
    <cellStyle name="20% - ส่วนที่ถูกเน้น3 5" xfId="71" xr:uid="{00000000-0005-0000-0000-00000B000000}"/>
    <cellStyle name="20% - ส่วนที่ถูกเน้น4 2" xfId="72" xr:uid="{00000000-0005-0000-0000-00000C000000}"/>
    <cellStyle name="20% - ส่วนที่ถูกเน้น4 3" xfId="73" xr:uid="{00000000-0005-0000-0000-00000D000000}"/>
    <cellStyle name="20% - ส่วนที่ถูกเน้น4 4" xfId="74" xr:uid="{00000000-0005-0000-0000-00000E000000}"/>
    <cellStyle name="20% - ส่วนที่ถูกเน้น4 5" xfId="75" xr:uid="{00000000-0005-0000-0000-00000F000000}"/>
    <cellStyle name="20% - ส่วนที่ถูกเน้น5 2" xfId="76" xr:uid="{00000000-0005-0000-0000-000010000000}"/>
    <cellStyle name="20% - ส่วนที่ถูกเน้น5 3" xfId="77" xr:uid="{00000000-0005-0000-0000-000011000000}"/>
    <cellStyle name="20% - ส่วนที่ถูกเน้น5 4" xfId="78" xr:uid="{00000000-0005-0000-0000-000012000000}"/>
    <cellStyle name="20% - ส่วนที่ถูกเน้น5 5" xfId="79" xr:uid="{00000000-0005-0000-0000-000013000000}"/>
    <cellStyle name="20% - ส่วนที่ถูกเน้น6 2" xfId="80" xr:uid="{00000000-0005-0000-0000-000014000000}"/>
    <cellStyle name="20% - ส่วนที่ถูกเน้น6 3" xfId="81" xr:uid="{00000000-0005-0000-0000-000015000000}"/>
    <cellStyle name="20% - ส่วนที่ถูกเน้น6 4" xfId="82" xr:uid="{00000000-0005-0000-0000-000016000000}"/>
    <cellStyle name="20% - ส่วนที่ถูกเน้น6 5" xfId="83" xr:uid="{00000000-0005-0000-0000-000017000000}"/>
    <cellStyle name="๒Wลว - Style1" xfId="84" xr:uid="{00000000-0005-0000-0000-000018000000}"/>
    <cellStyle name="๒Wลว - Style2" xfId="85" xr:uid="{00000000-0005-0000-0000-000019000000}"/>
    <cellStyle name="๒Wลว - Style3" xfId="86" xr:uid="{00000000-0005-0000-0000-00001A000000}"/>
    <cellStyle name="๒Wลว - Style4" xfId="87" xr:uid="{00000000-0005-0000-0000-00001B000000}"/>
    <cellStyle name="๒Wลว - Style5" xfId="88" xr:uid="{00000000-0005-0000-0000-00001C000000}"/>
    <cellStyle name="๒Wลว - Style6" xfId="89" xr:uid="{00000000-0005-0000-0000-00001D000000}"/>
    <cellStyle name="๒Wลว - Style7" xfId="90" xr:uid="{00000000-0005-0000-0000-00001E000000}"/>
    <cellStyle name="๒Wลว - Style8" xfId="91" xr:uid="{00000000-0005-0000-0000-00001F000000}"/>
    <cellStyle name="40% - ส่วนที่ถูกเน้น1 2" xfId="92" xr:uid="{00000000-0005-0000-0000-000020000000}"/>
    <cellStyle name="40% - ส่วนที่ถูกเน้น1 3" xfId="93" xr:uid="{00000000-0005-0000-0000-000021000000}"/>
    <cellStyle name="40% - ส่วนที่ถูกเน้น1 4" xfId="94" xr:uid="{00000000-0005-0000-0000-000022000000}"/>
    <cellStyle name="40% - ส่วนที่ถูกเน้น1 5" xfId="95" xr:uid="{00000000-0005-0000-0000-000023000000}"/>
    <cellStyle name="40% - ส่วนที่ถูกเน้น2 2" xfId="96" xr:uid="{00000000-0005-0000-0000-000024000000}"/>
    <cellStyle name="40% - ส่วนที่ถูกเน้น2 3" xfId="97" xr:uid="{00000000-0005-0000-0000-000025000000}"/>
    <cellStyle name="40% - ส่วนที่ถูกเน้น2 4" xfId="98" xr:uid="{00000000-0005-0000-0000-000026000000}"/>
    <cellStyle name="40% - ส่วนที่ถูกเน้น2 5" xfId="99" xr:uid="{00000000-0005-0000-0000-000027000000}"/>
    <cellStyle name="40% - ส่วนที่ถูกเน้น3 2" xfId="100" xr:uid="{00000000-0005-0000-0000-000028000000}"/>
    <cellStyle name="40% - ส่วนที่ถูกเน้น3 3" xfId="101" xr:uid="{00000000-0005-0000-0000-000029000000}"/>
    <cellStyle name="40% - ส่วนที่ถูกเน้น3 4" xfId="102" xr:uid="{00000000-0005-0000-0000-00002A000000}"/>
    <cellStyle name="40% - ส่วนที่ถูกเน้น3 5" xfId="103" xr:uid="{00000000-0005-0000-0000-00002B000000}"/>
    <cellStyle name="40% - ส่วนที่ถูกเน้น4 2" xfId="104" xr:uid="{00000000-0005-0000-0000-00002C000000}"/>
    <cellStyle name="40% - ส่วนที่ถูกเน้น4 3" xfId="105" xr:uid="{00000000-0005-0000-0000-00002D000000}"/>
    <cellStyle name="40% - ส่วนที่ถูกเน้น4 4" xfId="106" xr:uid="{00000000-0005-0000-0000-00002E000000}"/>
    <cellStyle name="40% - ส่วนที่ถูกเน้น4 5" xfId="107" xr:uid="{00000000-0005-0000-0000-00002F000000}"/>
    <cellStyle name="40% - ส่วนที่ถูกเน้น5 2" xfId="108" xr:uid="{00000000-0005-0000-0000-000030000000}"/>
    <cellStyle name="40% - ส่วนที่ถูกเน้น5 3" xfId="109" xr:uid="{00000000-0005-0000-0000-000031000000}"/>
    <cellStyle name="40% - ส่วนที่ถูกเน้น5 4" xfId="110" xr:uid="{00000000-0005-0000-0000-000032000000}"/>
    <cellStyle name="40% - ส่วนที่ถูกเน้น5 5" xfId="111" xr:uid="{00000000-0005-0000-0000-000033000000}"/>
    <cellStyle name="40% - ส่วนที่ถูกเน้น6 2" xfId="112" xr:uid="{00000000-0005-0000-0000-000034000000}"/>
    <cellStyle name="40% - ส่วนที่ถูกเน้น6 3" xfId="113" xr:uid="{00000000-0005-0000-0000-000035000000}"/>
    <cellStyle name="40% - ส่วนที่ถูกเน้น6 4" xfId="114" xr:uid="{00000000-0005-0000-0000-000036000000}"/>
    <cellStyle name="40% - ส่วนที่ถูกเน้น6 5" xfId="115" xr:uid="{00000000-0005-0000-0000-000037000000}"/>
    <cellStyle name="60% - ส่วนที่ถูกเน้น1 2" xfId="116" xr:uid="{00000000-0005-0000-0000-000038000000}"/>
    <cellStyle name="60% - ส่วนที่ถูกเน้น1 3" xfId="117" xr:uid="{00000000-0005-0000-0000-000039000000}"/>
    <cellStyle name="60% - ส่วนที่ถูกเน้น1 4" xfId="118" xr:uid="{00000000-0005-0000-0000-00003A000000}"/>
    <cellStyle name="60% - ส่วนที่ถูกเน้น1 5" xfId="119" xr:uid="{00000000-0005-0000-0000-00003B000000}"/>
    <cellStyle name="60% - ส่วนที่ถูกเน้น2 2" xfId="120" xr:uid="{00000000-0005-0000-0000-00003C000000}"/>
    <cellStyle name="60% - ส่วนที่ถูกเน้น2 3" xfId="121" xr:uid="{00000000-0005-0000-0000-00003D000000}"/>
    <cellStyle name="60% - ส่วนที่ถูกเน้น2 4" xfId="122" xr:uid="{00000000-0005-0000-0000-00003E000000}"/>
    <cellStyle name="60% - ส่วนที่ถูกเน้น2 5" xfId="123" xr:uid="{00000000-0005-0000-0000-00003F000000}"/>
    <cellStyle name="60% - ส่วนที่ถูกเน้น3 2" xfId="124" xr:uid="{00000000-0005-0000-0000-000040000000}"/>
    <cellStyle name="60% - ส่วนที่ถูกเน้น3 3" xfId="125" xr:uid="{00000000-0005-0000-0000-000041000000}"/>
    <cellStyle name="60% - ส่วนที่ถูกเน้น3 4" xfId="126" xr:uid="{00000000-0005-0000-0000-000042000000}"/>
    <cellStyle name="60% - ส่วนที่ถูกเน้น3 5" xfId="127" xr:uid="{00000000-0005-0000-0000-000043000000}"/>
    <cellStyle name="60% - ส่วนที่ถูกเน้น4 2" xfId="128" xr:uid="{00000000-0005-0000-0000-000044000000}"/>
    <cellStyle name="60% - ส่วนที่ถูกเน้น4 3" xfId="129" xr:uid="{00000000-0005-0000-0000-000045000000}"/>
    <cellStyle name="60% - ส่วนที่ถูกเน้น4 4" xfId="130" xr:uid="{00000000-0005-0000-0000-000046000000}"/>
    <cellStyle name="60% - ส่วนที่ถูกเน้น4 5" xfId="131" xr:uid="{00000000-0005-0000-0000-000047000000}"/>
    <cellStyle name="60% - ส่วนที่ถูกเน้น5 2" xfId="132" xr:uid="{00000000-0005-0000-0000-000048000000}"/>
    <cellStyle name="60% - ส่วนที่ถูกเน้น5 3" xfId="133" xr:uid="{00000000-0005-0000-0000-000049000000}"/>
    <cellStyle name="60% - ส่วนที่ถูกเน้น5 4" xfId="134" xr:uid="{00000000-0005-0000-0000-00004A000000}"/>
    <cellStyle name="60% - ส่วนที่ถูกเน้น5 5" xfId="135" xr:uid="{00000000-0005-0000-0000-00004B000000}"/>
    <cellStyle name="60% - ส่วนที่ถูกเน้น6 2" xfId="136" xr:uid="{00000000-0005-0000-0000-00004C000000}"/>
    <cellStyle name="60% - ส่วนที่ถูกเน้น6 3" xfId="137" xr:uid="{00000000-0005-0000-0000-00004D000000}"/>
    <cellStyle name="60% - ส่วนที่ถูกเน้น6 4" xfId="138" xr:uid="{00000000-0005-0000-0000-00004E000000}"/>
    <cellStyle name="60% - ส่วนที่ถูกเน้น6 5" xfId="139" xr:uid="{00000000-0005-0000-0000-00004F000000}"/>
    <cellStyle name="BOLDSH - Style1" xfId="140" xr:uid="{00000000-0005-0000-0000-000050000000}"/>
    <cellStyle name="Calc Currency (0)" xfId="141" xr:uid="{00000000-0005-0000-0000-000051000000}"/>
    <cellStyle name="Calc Currency (2)" xfId="142" xr:uid="{00000000-0005-0000-0000-000052000000}"/>
    <cellStyle name="Calc Percent (0)" xfId="143" xr:uid="{00000000-0005-0000-0000-000053000000}"/>
    <cellStyle name="Calc Percent (1)" xfId="144" xr:uid="{00000000-0005-0000-0000-000054000000}"/>
    <cellStyle name="Calc Percent (2)" xfId="145" xr:uid="{00000000-0005-0000-0000-000055000000}"/>
    <cellStyle name="Calc Units (0)" xfId="146" xr:uid="{00000000-0005-0000-0000-000056000000}"/>
    <cellStyle name="Calc Units (1)" xfId="147" xr:uid="{00000000-0005-0000-0000-000057000000}"/>
    <cellStyle name="Calc Units (2)" xfId="148" xr:uid="{00000000-0005-0000-0000-000058000000}"/>
    <cellStyle name="category" xfId="149" xr:uid="{00000000-0005-0000-0000-000059000000}"/>
    <cellStyle name="Comma [00]" xfId="150" xr:uid="{00000000-0005-0000-0000-00005B000000}"/>
    <cellStyle name="Comma 10" xfId="13" xr:uid="{00000000-0005-0000-0000-00005C000000}"/>
    <cellStyle name="Comma 10 2" xfId="15" xr:uid="{00000000-0005-0000-0000-00005D000000}"/>
    <cellStyle name="Comma 10 2 2" xfId="16" xr:uid="{00000000-0005-0000-0000-00005E000000}"/>
    <cellStyle name="Comma 11" xfId="17" xr:uid="{00000000-0005-0000-0000-00005F000000}"/>
    <cellStyle name="Comma 14 75" xfId="18" xr:uid="{00000000-0005-0000-0000-000060000000}"/>
    <cellStyle name="Comma 2" xfId="4" xr:uid="{00000000-0005-0000-0000-000061000000}"/>
    <cellStyle name="Comma 2 2" xfId="19" xr:uid="{00000000-0005-0000-0000-000062000000}"/>
    <cellStyle name="Comma 3" xfId="5" xr:uid="{00000000-0005-0000-0000-000063000000}"/>
    <cellStyle name="Comma 3 2" xfId="20" xr:uid="{00000000-0005-0000-0000-000064000000}"/>
    <cellStyle name="Comma 4" xfId="14" xr:uid="{00000000-0005-0000-0000-000065000000}"/>
    <cellStyle name="Comma 5" xfId="325" xr:uid="{77985C23-308A-4089-934A-8FEF1719B106}"/>
    <cellStyle name="Comma 5 2" xfId="21" xr:uid="{00000000-0005-0000-0000-000066000000}"/>
    <cellStyle name="Comma 6" xfId="22" xr:uid="{00000000-0005-0000-0000-000067000000}"/>
    <cellStyle name="Comma 7" xfId="328" xr:uid="{9F08EC4E-2CB7-4F2B-9931-D051EF912B8E}"/>
    <cellStyle name="Comma 7 2" xfId="332" xr:uid="{E0DBF90B-CF0E-4E57-953F-9CFAE7125F92}"/>
    <cellStyle name="Comma 9" xfId="23" xr:uid="{00000000-0005-0000-0000-000068000000}"/>
    <cellStyle name="Currency [00]" xfId="151" xr:uid="{00000000-0005-0000-0000-000069000000}"/>
    <cellStyle name="Date Short" xfId="152" xr:uid="{00000000-0005-0000-0000-00006A000000}"/>
    <cellStyle name="Enter Currency (0)" xfId="153" xr:uid="{00000000-0005-0000-0000-00006B000000}"/>
    <cellStyle name="Enter Currency (2)" xfId="154" xr:uid="{00000000-0005-0000-0000-00006C000000}"/>
    <cellStyle name="Enter Units (0)" xfId="155" xr:uid="{00000000-0005-0000-0000-00006D000000}"/>
    <cellStyle name="Enter Units (1)" xfId="156" xr:uid="{00000000-0005-0000-0000-00006E000000}"/>
    <cellStyle name="Enter Units (2)" xfId="157" xr:uid="{00000000-0005-0000-0000-00006F000000}"/>
    <cellStyle name="Grey" xfId="158" xr:uid="{00000000-0005-0000-0000-000070000000}"/>
    <cellStyle name="HEADER" xfId="159" xr:uid="{00000000-0005-0000-0000-000071000000}"/>
    <cellStyle name="Header1" xfId="160" xr:uid="{00000000-0005-0000-0000-000072000000}"/>
    <cellStyle name="Header2" xfId="161" xr:uid="{00000000-0005-0000-0000-000073000000}"/>
    <cellStyle name="Input [yellow]" xfId="162" xr:uid="{00000000-0005-0000-0000-000074000000}"/>
    <cellStyle name="LINEAL - Style2" xfId="163" xr:uid="{00000000-0005-0000-0000-000075000000}"/>
    <cellStyle name="Link Currency (0)" xfId="164" xr:uid="{00000000-0005-0000-0000-000076000000}"/>
    <cellStyle name="Link Currency (2)" xfId="165" xr:uid="{00000000-0005-0000-0000-000077000000}"/>
    <cellStyle name="Link Units (0)" xfId="166" xr:uid="{00000000-0005-0000-0000-000078000000}"/>
    <cellStyle name="Link Units (1)" xfId="167" xr:uid="{00000000-0005-0000-0000-000079000000}"/>
    <cellStyle name="Link Units (2)" xfId="168" xr:uid="{00000000-0005-0000-0000-00007A000000}"/>
    <cellStyle name="Model" xfId="169" xr:uid="{00000000-0005-0000-0000-00007B000000}"/>
    <cellStyle name="no dec" xfId="170" xr:uid="{00000000-0005-0000-0000-00007C000000}"/>
    <cellStyle name="Normal - Style1" xfId="171" xr:uid="{00000000-0005-0000-0000-00007E000000}"/>
    <cellStyle name="Normal 10" xfId="24" xr:uid="{00000000-0005-0000-0000-00007F000000}"/>
    <cellStyle name="Normal 10 11" xfId="25" xr:uid="{00000000-0005-0000-0000-000080000000}"/>
    <cellStyle name="Normal 10 2 2" xfId="26" xr:uid="{00000000-0005-0000-0000-000081000000}"/>
    <cellStyle name="Normal 11" xfId="327" xr:uid="{13BAEB87-083A-4233-A718-47E3D44F2036}"/>
    <cellStyle name="Normal 11 2" xfId="331" xr:uid="{7246C716-2818-446E-A705-1EFD63B6FC16}"/>
    <cellStyle name="Normal 2" xfId="6" xr:uid="{00000000-0005-0000-0000-000082000000}"/>
    <cellStyle name="Normal 2 2" xfId="55" xr:uid="{00000000-0005-0000-0000-000083000000}"/>
    <cellStyle name="Normal 2 3" xfId="27" xr:uid="{00000000-0005-0000-0000-000084000000}"/>
    <cellStyle name="Normal 2 4" xfId="28" xr:uid="{00000000-0005-0000-0000-000085000000}"/>
    <cellStyle name="Normal 3" xfId="12" xr:uid="{00000000-0005-0000-0000-000086000000}"/>
    <cellStyle name="Normal 4" xfId="29" xr:uid="{00000000-0005-0000-0000-000087000000}"/>
    <cellStyle name="Normal 4 2" xfId="30" xr:uid="{00000000-0005-0000-0000-000088000000}"/>
    <cellStyle name="Normal 4 4" xfId="31" xr:uid="{00000000-0005-0000-0000-000089000000}"/>
    <cellStyle name="Normal 42" xfId="32" xr:uid="{00000000-0005-0000-0000-00008A000000}"/>
    <cellStyle name="Normal 5" xfId="7" xr:uid="{00000000-0005-0000-0000-00008B000000}"/>
    <cellStyle name="Normal 6" xfId="33" xr:uid="{00000000-0005-0000-0000-00008C000000}"/>
    <cellStyle name="Normal 6 2 2" xfId="34" xr:uid="{00000000-0005-0000-0000-00008D000000}"/>
    <cellStyle name="Normal 6 2 3 2 2 2" xfId="35" xr:uid="{00000000-0005-0000-0000-00008E000000}"/>
    <cellStyle name="Normal 7" xfId="59" xr:uid="{00000000-0005-0000-0000-00008F000000}"/>
    <cellStyle name="Normal 8" xfId="324" xr:uid="{C4DDD9CF-D35F-4068-9D02-6A183476A8E8}"/>
    <cellStyle name="Normal 9" xfId="36" xr:uid="{00000000-0005-0000-0000-000090000000}"/>
    <cellStyle name="Normal_TOC-DATA" xfId="2" xr:uid="{00000000-0005-0000-0000-000091000000}"/>
    <cellStyle name="Percent [0]" xfId="172" xr:uid="{00000000-0005-0000-0000-000093000000}"/>
    <cellStyle name="Percent [00]" xfId="173" xr:uid="{00000000-0005-0000-0000-000094000000}"/>
    <cellStyle name="Percent [2]" xfId="174" xr:uid="{00000000-0005-0000-0000-000095000000}"/>
    <cellStyle name="Percent 2" xfId="37" xr:uid="{00000000-0005-0000-0000-000096000000}"/>
    <cellStyle name="Percent 2 2" xfId="38" xr:uid="{00000000-0005-0000-0000-000097000000}"/>
    <cellStyle name="Percent 2 3" xfId="39" xr:uid="{00000000-0005-0000-0000-000098000000}"/>
    <cellStyle name="Percent 3" xfId="40" xr:uid="{00000000-0005-0000-0000-000099000000}"/>
    <cellStyle name="Percent 3 2" xfId="41" xr:uid="{00000000-0005-0000-0000-00009A000000}"/>
    <cellStyle name="Percent 4" xfId="42" xr:uid="{00000000-0005-0000-0000-00009B000000}"/>
    <cellStyle name="Percent 5" xfId="326" xr:uid="{400A0BC0-AE87-41A0-884C-369FA5A7B868}"/>
    <cellStyle name="Percent 6" xfId="329" xr:uid="{D1163A84-ED77-4EE4-9D71-250C83784AA6}"/>
    <cellStyle name="Percent 6 2" xfId="333" xr:uid="{816BD98B-4458-4643-B6D3-7BC1C18E5CFF}"/>
    <cellStyle name="Pilkku_BINV" xfId="175" xr:uid="{00000000-0005-0000-0000-00009C000000}"/>
    <cellStyle name="PrePop Currency (0)" xfId="176" xr:uid="{00000000-0005-0000-0000-00009D000000}"/>
    <cellStyle name="PrePop Currency (2)" xfId="177" xr:uid="{00000000-0005-0000-0000-00009E000000}"/>
    <cellStyle name="PrePop Units (0)" xfId="178" xr:uid="{00000000-0005-0000-0000-00009F000000}"/>
    <cellStyle name="PrePop Units (1)" xfId="179" xr:uid="{00000000-0005-0000-0000-0000A0000000}"/>
    <cellStyle name="PrePop Units (2)" xfId="180" xr:uid="{00000000-0005-0000-0000-0000A1000000}"/>
    <cellStyle name="Py?r. luku_BINV" xfId="181" xr:uid="{00000000-0005-0000-0000-0000A2000000}"/>
    <cellStyle name="Py?r. valuutta_BINV" xfId="182" xr:uid="{00000000-0005-0000-0000-0000A3000000}"/>
    <cellStyle name="satoh" xfId="43" xr:uid="{00000000-0005-0000-0000-0000A4000000}"/>
    <cellStyle name="subhead" xfId="183" xr:uid="{00000000-0005-0000-0000-0000A5000000}"/>
    <cellStyle name="Text Indent A" xfId="184" xr:uid="{00000000-0005-0000-0000-0000A6000000}"/>
    <cellStyle name="Text Indent B" xfId="185" xr:uid="{00000000-0005-0000-0000-0000A7000000}"/>
    <cellStyle name="Text Indent C" xfId="186" xr:uid="{00000000-0005-0000-0000-0000A8000000}"/>
    <cellStyle name="Valuutta_BINV" xfId="187" xr:uid="{00000000-0005-0000-0000-0000A9000000}"/>
    <cellStyle name="เครื่องหมายจุลภาค 13" xfId="188" xr:uid="{00000000-0005-0000-0000-0000AA000000}"/>
    <cellStyle name="เครื่องหมายจุลภาค 2" xfId="8" xr:uid="{00000000-0005-0000-0000-0000AB000000}"/>
    <cellStyle name="เครื่องหมายจุลภาค 2 2" xfId="44" xr:uid="{00000000-0005-0000-0000-0000AC000000}"/>
    <cellStyle name="เครื่องหมายจุลภาค 2 3" xfId="58" xr:uid="{00000000-0005-0000-0000-0000AD000000}"/>
    <cellStyle name="เครื่องหมายจุลภาค 3" xfId="9" xr:uid="{00000000-0005-0000-0000-0000AE000000}"/>
    <cellStyle name="เครื่องหมายจุลภาค 4" xfId="57" xr:uid="{00000000-0005-0000-0000-0000AF000000}"/>
    <cellStyle name="เครื่องหมายจุลภาค 4 2" xfId="189" xr:uid="{00000000-0005-0000-0000-0000B0000000}"/>
    <cellStyle name="เครื่องหมายจุลภาค 5" xfId="190" xr:uid="{00000000-0005-0000-0000-0000B1000000}"/>
    <cellStyle name="เครื่องหมายจุลภาค 6" xfId="191" xr:uid="{00000000-0005-0000-0000-0000B2000000}"/>
    <cellStyle name="เครื่องหมายจุลภาค 8" xfId="192" xr:uid="{00000000-0005-0000-0000-0000B3000000}"/>
    <cellStyle name="เครื่องหมายจุลภาค_Backup2" xfId="45" xr:uid="{00000000-0005-0000-0000-0000B4000000}"/>
    <cellStyle name="เครื่องหมายสกุลเงิน 2" xfId="193" xr:uid="{00000000-0005-0000-0000-0000B5000000}"/>
    <cellStyle name="เซลล์ตรวจสอบ 2" xfId="194" xr:uid="{00000000-0005-0000-0000-0000B6000000}"/>
    <cellStyle name="เซลล์ตรวจสอบ 3" xfId="195" xr:uid="{00000000-0005-0000-0000-0000B7000000}"/>
    <cellStyle name="เซลล์ตรวจสอบ 4" xfId="196" xr:uid="{00000000-0005-0000-0000-0000B8000000}"/>
    <cellStyle name="เซลล์ตรวจสอบ 5" xfId="197" xr:uid="{00000000-0005-0000-0000-0000B9000000}"/>
    <cellStyle name="เซลล์ที่มีการเชื่อมโยง 2" xfId="198" xr:uid="{00000000-0005-0000-0000-0000BA000000}"/>
    <cellStyle name="เซลล์ที่มีการเชื่อมโยง 3" xfId="199" xr:uid="{00000000-0005-0000-0000-0000BB000000}"/>
    <cellStyle name="เซลล์ที่มีการเชื่อมโยง 4" xfId="200" xr:uid="{00000000-0005-0000-0000-0000BC000000}"/>
    <cellStyle name="เซลล์ที่มีการเชื่อมโยง 5" xfId="201" xr:uid="{00000000-0005-0000-0000-0000BD000000}"/>
    <cellStyle name="เปอร์เซ็นต์" xfId="11" builtinId="5"/>
    <cellStyle name="เปอร์เซ็นต์ 2" xfId="202" xr:uid="{00000000-0005-0000-0000-0000BE000000}"/>
    <cellStyle name="เปอร์เซ็นต์ 4" xfId="203" xr:uid="{00000000-0005-0000-0000-0000BF000000}"/>
    <cellStyle name="เส้นขอบขวา" xfId="204" xr:uid="{00000000-0005-0000-0000-0000C0000000}"/>
    <cellStyle name="แย่ 2" xfId="205" xr:uid="{00000000-0005-0000-0000-0000C1000000}"/>
    <cellStyle name="แย่ 3" xfId="206" xr:uid="{00000000-0005-0000-0000-0000C2000000}"/>
    <cellStyle name="แย่ 4" xfId="207" xr:uid="{00000000-0005-0000-0000-0000C3000000}"/>
    <cellStyle name="แย่ 5" xfId="208" xr:uid="{00000000-0005-0000-0000-0000C4000000}"/>
    <cellStyle name="แสดงผล 2" xfId="209" xr:uid="{00000000-0005-0000-0000-0000C5000000}"/>
    <cellStyle name="แสดงผล 3" xfId="210" xr:uid="{00000000-0005-0000-0000-0000C6000000}"/>
    <cellStyle name="แสดงผล 4" xfId="211" xr:uid="{00000000-0005-0000-0000-0000C7000000}"/>
    <cellStyle name="แสดงผล 5" xfId="212" xr:uid="{00000000-0005-0000-0000-0000C8000000}"/>
    <cellStyle name="การคำนวณ 2" xfId="213" xr:uid="{00000000-0005-0000-0000-0000C9000000}"/>
    <cellStyle name="การคำนวณ 3" xfId="214" xr:uid="{00000000-0005-0000-0000-0000CA000000}"/>
    <cellStyle name="การคำนวณ 4" xfId="215" xr:uid="{00000000-0005-0000-0000-0000CB000000}"/>
    <cellStyle name="การคำนวณ 5" xfId="216" xr:uid="{00000000-0005-0000-0000-0000CC000000}"/>
    <cellStyle name="ข้อความเตือน 2" xfId="217" xr:uid="{00000000-0005-0000-0000-0000CD000000}"/>
    <cellStyle name="ข้อความเตือน 3" xfId="218" xr:uid="{00000000-0005-0000-0000-0000CE000000}"/>
    <cellStyle name="ข้อความเตือน 4" xfId="219" xr:uid="{00000000-0005-0000-0000-0000CF000000}"/>
    <cellStyle name="ข้อความเตือน 5" xfId="220" xr:uid="{00000000-0005-0000-0000-0000D0000000}"/>
    <cellStyle name="ข้อความอธิบาย 2" xfId="221" xr:uid="{00000000-0005-0000-0000-0000D1000000}"/>
    <cellStyle name="ข้อความอธิบาย 3" xfId="222" xr:uid="{00000000-0005-0000-0000-0000D2000000}"/>
    <cellStyle name="ข้อความอธิบาย 4" xfId="223" xr:uid="{00000000-0005-0000-0000-0000D3000000}"/>
    <cellStyle name="ข้อความอธิบาย 5" xfId="224" xr:uid="{00000000-0005-0000-0000-0000D4000000}"/>
    <cellStyle name="จุลภาค" xfId="1" builtinId="3"/>
    <cellStyle name="ชื่อเรื่อง 2" xfId="225" xr:uid="{00000000-0005-0000-0000-0000D5000000}"/>
    <cellStyle name="ชื่อเรื่อง 3" xfId="226" xr:uid="{00000000-0005-0000-0000-0000D6000000}"/>
    <cellStyle name="ชื่อเรื่อง 4" xfId="227" xr:uid="{00000000-0005-0000-0000-0000D7000000}"/>
    <cellStyle name="ชื่อเรื่อง 5" xfId="228" xr:uid="{00000000-0005-0000-0000-0000D8000000}"/>
    <cellStyle name="ดี 2" xfId="229" xr:uid="{00000000-0005-0000-0000-0000D9000000}"/>
    <cellStyle name="ดี 3" xfId="230" xr:uid="{00000000-0005-0000-0000-0000DA000000}"/>
    <cellStyle name="ดี 4" xfId="231" xr:uid="{00000000-0005-0000-0000-0000DB000000}"/>
    <cellStyle name="ดี 5" xfId="232" xr:uid="{00000000-0005-0000-0000-0000DC000000}"/>
    <cellStyle name="ปกติ" xfId="0" builtinId="0"/>
    <cellStyle name="ปกติ 10" xfId="233" xr:uid="{00000000-0005-0000-0000-0000DD000000}"/>
    <cellStyle name="ปกติ 11" xfId="234" xr:uid="{00000000-0005-0000-0000-0000DE000000}"/>
    <cellStyle name="ปกติ 12" xfId="235" xr:uid="{00000000-0005-0000-0000-0000DF000000}"/>
    <cellStyle name="ปกติ 13" xfId="236" xr:uid="{00000000-0005-0000-0000-0000E0000000}"/>
    <cellStyle name="ปกติ 14" xfId="54" xr:uid="{00000000-0005-0000-0000-0000E1000000}"/>
    <cellStyle name="ปกติ 14 2" xfId="237" xr:uid="{00000000-0005-0000-0000-0000E2000000}"/>
    <cellStyle name="ปกติ 15" xfId="238" xr:uid="{00000000-0005-0000-0000-0000E3000000}"/>
    <cellStyle name="ปกติ 16" xfId="239" xr:uid="{00000000-0005-0000-0000-0000E4000000}"/>
    <cellStyle name="ปกติ 17" xfId="240" xr:uid="{00000000-0005-0000-0000-0000E5000000}"/>
    <cellStyle name="ปกติ 18" xfId="241" xr:uid="{00000000-0005-0000-0000-0000E6000000}"/>
    <cellStyle name="ปกติ 19" xfId="242" xr:uid="{00000000-0005-0000-0000-0000E7000000}"/>
    <cellStyle name="ปกติ 2" xfId="10" xr:uid="{00000000-0005-0000-0000-0000E8000000}"/>
    <cellStyle name="ปกติ 2 2" xfId="46" xr:uid="{00000000-0005-0000-0000-0000E9000000}"/>
    <cellStyle name="ปกติ 20" xfId="243" xr:uid="{00000000-0005-0000-0000-0000EA000000}"/>
    <cellStyle name="ปกติ 21" xfId="244" xr:uid="{00000000-0005-0000-0000-0000EB000000}"/>
    <cellStyle name="ปกติ 22" xfId="245" xr:uid="{00000000-0005-0000-0000-0000EC000000}"/>
    <cellStyle name="ปกติ 23" xfId="246" xr:uid="{00000000-0005-0000-0000-0000ED000000}"/>
    <cellStyle name="ปกติ 24" xfId="247" xr:uid="{00000000-0005-0000-0000-0000EE000000}"/>
    <cellStyle name="ปกติ 25" xfId="248" xr:uid="{00000000-0005-0000-0000-0000EF000000}"/>
    <cellStyle name="ปกติ 26" xfId="249" xr:uid="{00000000-0005-0000-0000-0000F0000000}"/>
    <cellStyle name="ปกติ 27" xfId="250" xr:uid="{00000000-0005-0000-0000-0000F1000000}"/>
    <cellStyle name="ปกติ 28" xfId="251" xr:uid="{00000000-0005-0000-0000-0000F2000000}"/>
    <cellStyle name="ปกติ 29" xfId="252" xr:uid="{00000000-0005-0000-0000-0000F3000000}"/>
    <cellStyle name="ปกติ 3" xfId="3" xr:uid="{00000000-0005-0000-0000-0000F4000000}"/>
    <cellStyle name="ปกติ 30" xfId="253" xr:uid="{00000000-0005-0000-0000-0000F5000000}"/>
    <cellStyle name="ปกติ 31" xfId="254" xr:uid="{00000000-0005-0000-0000-0000F6000000}"/>
    <cellStyle name="ปกติ 32" xfId="255" xr:uid="{00000000-0005-0000-0000-0000F7000000}"/>
    <cellStyle name="ปกติ 33" xfId="256" xr:uid="{00000000-0005-0000-0000-0000F8000000}"/>
    <cellStyle name="ปกติ 34" xfId="257" xr:uid="{00000000-0005-0000-0000-0000F9000000}"/>
    <cellStyle name="ปกติ 35" xfId="258" xr:uid="{00000000-0005-0000-0000-0000FA000000}"/>
    <cellStyle name="ปกติ 36" xfId="259" xr:uid="{00000000-0005-0000-0000-0000FB000000}"/>
    <cellStyle name="ปกติ 37" xfId="260" xr:uid="{00000000-0005-0000-0000-0000FC000000}"/>
    <cellStyle name="ปกติ 38" xfId="261" xr:uid="{00000000-0005-0000-0000-0000FD000000}"/>
    <cellStyle name="ปกติ 39" xfId="262" xr:uid="{00000000-0005-0000-0000-0000FE000000}"/>
    <cellStyle name="ปกติ 4" xfId="56" xr:uid="{00000000-0005-0000-0000-0000FF000000}"/>
    <cellStyle name="ปกติ 5" xfId="263" xr:uid="{00000000-0005-0000-0000-000000010000}"/>
    <cellStyle name="ปกติ 6" xfId="264" xr:uid="{00000000-0005-0000-0000-000001010000}"/>
    <cellStyle name="ปกติ 7" xfId="265" xr:uid="{00000000-0005-0000-0000-000002010000}"/>
    <cellStyle name="ปกติ 8" xfId="266" xr:uid="{00000000-0005-0000-0000-000003010000}"/>
    <cellStyle name="ปกติ 9" xfId="267" xr:uid="{00000000-0005-0000-0000-000004010000}"/>
    <cellStyle name="ปกติ_FULL  BOQ  ME" xfId="330" xr:uid="{0ACC9796-BE64-4D4F-A7CD-B1522B912A63}"/>
    <cellStyle name="ป้อนค่า 2" xfId="268" xr:uid="{00000000-0005-0000-0000-000006010000}"/>
    <cellStyle name="ป้อนค่า 3" xfId="269" xr:uid="{00000000-0005-0000-0000-000007010000}"/>
    <cellStyle name="ป้อนค่า 4" xfId="270" xr:uid="{00000000-0005-0000-0000-000008010000}"/>
    <cellStyle name="ป้อนค่า 5" xfId="271" xr:uid="{00000000-0005-0000-0000-000009010000}"/>
    <cellStyle name="ปานกลาง 2" xfId="272" xr:uid="{00000000-0005-0000-0000-00000A010000}"/>
    <cellStyle name="ปานกลาง 3" xfId="273" xr:uid="{00000000-0005-0000-0000-00000B010000}"/>
    <cellStyle name="ปานกลาง 4" xfId="274" xr:uid="{00000000-0005-0000-0000-00000C010000}"/>
    <cellStyle name="ปานกลาง 5" xfId="275" xr:uid="{00000000-0005-0000-0000-00000D010000}"/>
    <cellStyle name="ผลรวม 2" xfId="276" xr:uid="{00000000-0005-0000-0000-00000E010000}"/>
    <cellStyle name="ผลรวม 3" xfId="277" xr:uid="{00000000-0005-0000-0000-00000F010000}"/>
    <cellStyle name="ผลรวม 4" xfId="278" xr:uid="{00000000-0005-0000-0000-000010010000}"/>
    <cellStyle name="ผลรวม 5" xfId="279" xr:uid="{00000000-0005-0000-0000-000011010000}"/>
    <cellStyle name="ส่วนที่ถูกเน้น1 2" xfId="280" xr:uid="{00000000-0005-0000-0000-000012010000}"/>
    <cellStyle name="ส่วนที่ถูกเน้น1 3" xfId="281" xr:uid="{00000000-0005-0000-0000-000013010000}"/>
    <cellStyle name="ส่วนที่ถูกเน้น1 4" xfId="282" xr:uid="{00000000-0005-0000-0000-000014010000}"/>
    <cellStyle name="ส่วนที่ถูกเน้น1 5" xfId="283" xr:uid="{00000000-0005-0000-0000-000015010000}"/>
    <cellStyle name="ส่วนที่ถูกเน้น2 2" xfId="284" xr:uid="{00000000-0005-0000-0000-000016010000}"/>
    <cellStyle name="ส่วนที่ถูกเน้น2 3" xfId="285" xr:uid="{00000000-0005-0000-0000-000017010000}"/>
    <cellStyle name="ส่วนที่ถูกเน้น2 4" xfId="286" xr:uid="{00000000-0005-0000-0000-000018010000}"/>
    <cellStyle name="ส่วนที่ถูกเน้น2 5" xfId="287" xr:uid="{00000000-0005-0000-0000-000019010000}"/>
    <cellStyle name="ส่วนที่ถูกเน้น3 2" xfId="288" xr:uid="{00000000-0005-0000-0000-00001A010000}"/>
    <cellStyle name="ส่วนที่ถูกเน้น3 3" xfId="289" xr:uid="{00000000-0005-0000-0000-00001B010000}"/>
    <cellStyle name="ส่วนที่ถูกเน้น3 4" xfId="290" xr:uid="{00000000-0005-0000-0000-00001C010000}"/>
    <cellStyle name="ส่วนที่ถูกเน้น3 5" xfId="291" xr:uid="{00000000-0005-0000-0000-00001D010000}"/>
    <cellStyle name="ส่วนที่ถูกเน้น4 2" xfId="292" xr:uid="{00000000-0005-0000-0000-00001E010000}"/>
    <cellStyle name="ส่วนที่ถูกเน้น4 3" xfId="293" xr:uid="{00000000-0005-0000-0000-00001F010000}"/>
    <cellStyle name="ส่วนที่ถูกเน้น4 4" xfId="294" xr:uid="{00000000-0005-0000-0000-000020010000}"/>
    <cellStyle name="ส่วนที่ถูกเน้น4 5" xfId="295" xr:uid="{00000000-0005-0000-0000-000021010000}"/>
    <cellStyle name="ส่วนที่ถูกเน้น5 2" xfId="296" xr:uid="{00000000-0005-0000-0000-000022010000}"/>
    <cellStyle name="ส่วนที่ถูกเน้น5 3" xfId="297" xr:uid="{00000000-0005-0000-0000-000023010000}"/>
    <cellStyle name="ส่วนที่ถูกเน้น5 4" xfId="298" xr:uid="{00000000-0005-0000-0000-000024010000}"/>
    <cellStyle name="ส่วนที่ถูกเน้น5 5" xfId="299" xr:uid="{00000000-0005-0000-0000-000025010000}"/>
    <cellStyle name="ส่วนที่ถูกเน้น6 2" xfId="300" xr:uid="{00000000-0005-0000-0000-000026010000}"/>
    <cellStyle name="ส่วนที่ถูกเน้น6 3" xfId="301" xr:uid="{00000000-0005-0000-0000-000027010000}"/>
    <cellStyle name="ส่วนที่ถูกเน้น6 4" xfId="302" xr:uid="{00000000-0005-0000-0000-000028010000}"/>
    <cellStyle name="ส่วนที่ถูกเน้น6 5" xfId="303" xr:uid="{00000000-0005-0000-0000-000029010000}"/>
    <cellStyle name="หมายเหตุ 2" xfId="304" xr:uid="{00000000-0005-0000-0000-00002A010000}"/>
    <cellStyle name="หมายเหตุ 3" xfId="305" xr:uid="{00000000-0005-0000-0000-00002B010000}"/>
    <cellStyle name="หมายเหตุ 4" xfId="306" xr:uid="{00000000-0005-0000-0000-00002C010000}"/>
    <cellStyle name="หมายเหตุ 5" xfId="307" xr:uid="{00000000-0005-0000-0000-00002D010000}"/>
    <cellStyle name="หัวเรื่อง 1 2" xfId="308" xr:uid="{00000000-0005-0000-0000-00002E010000}"/>
    <cellStyle name="หัวเรื่อง 1 3" xfId="309" xr:uid="{00000000-0005-0000-0000-00002F010000}"/>
    <cellStyle name="หัวเรื่อง 1 4" xfId="310" xr:uid="{00000000-0005-0000-0000-000030010000}"/>
    <cellStyle name="หัวเรื่อง 1 5" xfId="311" xr:uid="{00000000-0005-0000-0000-000031010000}"/>
    <cellStyle name="หัวเรื่อง 2 2" xfId="312" xr:uid="{00000000-0005-0000-0000-000032010000}"/>
    <cellStyle name="หัวเรื่อง 2 3" xfId="313" xr:uid="{00000000-0005-0000-0000-000033010000}"/>
    <cellStyle name="หัวเรื่อง 2 4" xfId="314" xr:uid="{00000000-0005-0000-0000-000034010000}"/>
    <cellStyle name="หัวเรื่อง 2 5" xfId="315" xr:uid="{00000000-0005-0000-0000-000035010000}"/>
    <cellStyle name="หัวเรื่อง 3 2" xfId="316" xr:uid="{00000000-0005-0000-0000-000036010000}"/>
    <cellStyle name="หัวเรื่อง 3 3" xfId="317" xr:uid="{00000000-0005-0000-0000-000037010000}"/>
    <cellStyle name="หัวเรื่อง 3 4" xfId="318" xr:uid="{00000000-0005-0000-0000-000038010000}"/>
    <cellStyle name="หัวเรื่อง 3 5" xfId="319" xr:uid="{00000000-0005-0000-0000-000039010000}"/>
    <cellStyle name="หัวเรื่อง 4 2" xfId="320" xr:uid="{00000000-0005-0000-0000-00003A010000}"/>
    <cellStyle name="หัวเรื่อง 4 3" xfId="321" xr:uid="{00000000-0005-0000-0000-00003B010000}"/>
    <cellStyle name="หัวเรื่อง 4 4" xfId="322" xr:uid="{00000000-0005-0000-0000-00003C010000}"/>
    <cellStyle name="หัวเรื่อง 4 5" xfId="323" xr:uid="{00000000-0005-0000-0000-00003D010000}"/>
    <cellStyle name="未定義" xfId="47" xr:uid="{00000000-0005-0000-0000-00003E010000}"/>
    <cellStyle name="桁区切り 2" xfId="48" xr:uid="{00000000-0005-0000-0000-00003F010000}"/>
    <cellStyle name="標準 2" xfId="49" xr:uid="{00000000-0005-0000-0000-000040010000}"/>
    <cellStyle name="標準 3" xfId="50" xr:uid="{00000000-0005-0000-0000-000041010000}"/>
    <cellStyle name="見出し1" xfId="51" xr:uid="{00000000-0005-0000-0000-000042010000}"/>
    <cellStyle name="見出し2" xfId="52" xr:uid="{00000000-0005-0000-0000-000043010000}"/>
    <cellStyle name="見出し3" xfId="53" xr:uid="{00000000-0005-0000-0000-00004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3</xdr:col>
      <xdr:colOff>655798</xdr:colOff>
      <xdr:row>2</xdr:row>
      <xdr:rowOff>317687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B2ECAA47-0330-430A-AC1F-FD84B7774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68449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44825</xdr:colOff>
      <xdr:row>0</xdr:row>
      <xdr:rowOff>235326</xdr:rowOff>
    </xdr:from>
    <xdr:to>
      <xdr:col>1</xdr:col>
      <xdr:colOff>481854</xdr:colOff>
      <xdr:row>1</xdr:row>
      <xdr:rowOff>257736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2122B991-2162-4548-8483-EA0262E1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5" y="235326"/>
          <a:ext cx="1311088" cy="504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140153</xdr:colOff>
      <xdr:row>1</xdr:row>
      <xdr:rowOff>152400</xdr:rowOff>
    </xdr:from>
    <xdr:to>
      <xdr:col>2</xdr:col>
      <xdr:colOff>402479</xdr:colOff>
      <xdr:row>2</xdr:row>
      <xdr:rowOff>169001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76714DED-3507-41D0-AE5C-05D4A835E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53" y="152400"/>
          <a:ext cx="1462476" cy="50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773206</xdr:colOff>
      <xdr:row>1</xdr:row>
      <xdr:rowOff>56029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8F76DE13-BA40-4A85-A07D-FDF7E7BF0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47265" cy="53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140153</xdr:colOff>
      <xdr:row>1</xdr:row>
      <xdr:rowOff>152400</xdr:rowOff>
    </xdr:from>
    <xdr:to>
      <xdr:col>2</xdr:col>
      <xdr:colOff>402479</xdr:colOff>
      <xdr:row>2</xdr:row>
      <xdr:rowOff>169001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15B4881A-9500-453F-B471-6BAC1BA9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53" y="152400"/>
          <a:ext cx="1462476" cy="50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140153</xdr:colOff>
      <xdr:row>1</xdr:row>
      <xdr:rowOff>152400</xdr:rowOff>
    </xdr:from>
    <xdr:to>
      <xdr:col>2</xdr:col>
      <xdr:colOff>402479</xdr:colOff>
      <xdr:row>2</xdr:row>
      <xdr:rowOff>169001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3FA3CC7C-7C2B-4CDD-AA20-5DA01BFC5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53" y="152400"/>
          <a:ext cx="1462476" cy="50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3</xdr:col>
      <xdr:colOff>655798</xdr:colOff>
      <xdr:row>2</xdr:row>
      <xdr:rowOff>238125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68449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3</xdr:col>
      <xdr:colOff>655798</xdr:colOff>
      <xdr:row>2</xdr:row>
      <xdr:rowOff>238125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68449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3</xdr:col>
      <xdr:colOff>655798</xdr:colOff>
      <xdr:row>2</xdr:row>
      <xdr:rowOff>238125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68449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3</xdr:col>
      <xdr:colOff>640889</xdr:colOff>
      <xdr:row>2</xdr:row>
      <xdr:rowOff>238125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67911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145678</xdr:colOff>
      <xdr:row>0</xdr:row>
      <xdr:rowOff>112059</xdr:rowOff>
    </xdr:from>
    <xdr:to>
      <xdr:col>1</xdr:col>
      <xdr:colOff>963707</xdr:colOff>
      <xdr:row>2</xdr:row>
      <xdr:rowOff>97305</xdr:rowOff>
    </xdr:to>
    <xdr:pic>
      <xdr:nvPicPr>
        <xdr:cNvPr id="5" name="Picture 7" descr="logo.t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8" y="112059"/>
          <a:ext cx="1288676" cy="433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3</xdr:col>
      <xdr:colOff>519727</xdr:colOff>
      <xdr:row>2</xdr:row>
      <xdr:rowOff>295275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68449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3</xdr:col>
      <xdr:colOff>801474</xdr:colOff>
      <xdr:row>2</xdr:row>
      <xdr:rowOff>238125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8525841C-0862-45F7-B919-209816EE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68729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3</xdr:col>
      <xdr:colOff>801474</xdr:colOff>
      <xdr:row>2</xdr:row>
      <xdr:rowOff>238125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268FFEB4-B067-4FA4-8F53-8EBFC1D2F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68449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152400</xdr:rowOff>
    </xdr:from>
    <xdr:to>
      <xdr:col>3</xdr:col>
      <xdr:colOff>655798</xdr:colOff>
      <xdr:row>2</xdr:row>
      <xdr:rowOff>238125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2A7E9F3F-A159-44C1-B6FB-15F4FF96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2400"/>
          <a:ext cx="168393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140153</xdr:colOff>
      <xdr:row>1</xdr:row>
      <xdr:rowOff>152400</xdr:rowOff>
    </xdr:from>
    <xdr:to>
      <xdr:col>2</xdr:col>
      <xdr:colOff>402479</xdr:colOff>
      <xdr:row>2</xdr:row>
      <xdr:rowOff>169001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66D7EA00-6FC3-4072-89FE-DE9F454C5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53" y="152400"/>
          <a:ext cx="1462476" cy="50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140153</xdr:colOff>
      <xdr:row>1</xdr:row>
      <xdr:rowOff>152400</xdr:rowOff>
    </xdr:from>
    <xdr:to>
      <xdr:col>2</xdr:col>
      <xdr:colOff>402479</xdr:colOff>
      <xdr:row>2</xdr:row>
      <xdr:rowOff>169001</xdr:rowOff>
    </xdr:to>
    <xdr:pic>
      <xdr:nvPicPr>
        <xdr:cNvPr id="2" name="Picture 7" descr="logo.tif">
          <a:extLst>
            <a:ext uri="{FF2B5EF4-FFF2-40B4-BE49-F238E27FC236}">
              <a16:creationId xmlns:a16="http://schemas.microsoft.com/office/drawing/2014/main" id="{35BAC975-6C5C-4BE5-BC90-2BB7F2A1A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53" y="152400"/>
          <a:ext cx="1462476" cy="50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150495</xdr:rowOff>
    </xdr:from>
    <xdr:to>
      <xdr:col>2</xdr:col>
      <xdr:colOff>1255059</xdr:colOff>
      <xdr:row>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9D74E-33BB-46A0-B6FF-9780E157D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0495"/>
          <a:ext cx="1743075" cy="5829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_hd_gi01\&#65297;&#37096;&#22519;&#34892;&#26989;&#21209;\&#36196;&#37326;&#36786;&#36947;&#27211;\&#36196;&#37326;&#36786;&#36947;&#27211;_pce_down\'040301\&#35336;&#31639;&#26360;&#12414;&#12392;&#12417;04.2.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a%20buri\kk\THSR%20C-250\Old%20Price%20Schedule\Boq-JV\maj-m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a%20buri\kk\THSR%20C-250\Old%20Price%20Schedule\Boq-JV\maj-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engpeth\c\1.%20PUENGPET\1.Puengpeth\BOQ-M&amp;E%20Work\Year%202548\The%20Infinity%20Tower\PROJECT\SBIA\5JUNE00\TKC-NET\AC\PACKAGE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Job\DELL(HM)\My%20Jobs\Saekong\Sekong(&#3648;&#3627;&#3617;&#3633;&#3609;&#3605;&#3660;)\Green%20Line\Green%20Line_C%232_Format%20Cost%20Estimation_R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47\m.e.\ESTIMATE\PROJECT\TENDER\YAKULT\EST_A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11%20Jun%202003%20Back%20up\ESTIMATE\BRIDGESTONE\BS%20Nongkhae\Fac-2%20Calender\My%20Documents\General%20Motors\Draft%20BQ's\GM-BOQ-EXT%20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m\c\ESTIMATE\BOQ\BOQ_&#3648;&#3629;&#3585;&#3594;&#3609;\BIG-C\Radamri_rev106\Bill%20No.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Aug31%20Job%20Doc\Job%20Doc\Job%20Estimate\04%20Team%20Doc\p1120%20&#3627;&#3617;&#3629;&#3594;&#3636;&#3605;-&#3626;&#3632;&#3614;&#3634;&#3609;&#3651;&#3627;&#3617;&#3656;-&#3588;&#3641;&#3588;&#3605;3\13JUN30%20GREEN%20LINE\BACK%20UP%20CON1%20BILL4%201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1120%20&#3627;&#3617;&#3629;&#3594;&#3636;&#3605;-&#3626;&#3632;&#3614;&#3634;&#3609;&#3651;&#3627;&#3617;&#3656;2\&#3585;&#3607;&#3617;%20&#3585;&#3633;&#3609;&#3618;&#3634;%20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_hd_gi01\&#65297;&#37096;&#22519;&#34892;&#26989;&#21209;\&#36196;&#37326;&#36786;&#36947;&#27211;\&#36196;&#37326;&#36786;&#36947;&#27211;_pce_down\'040301\&#12473;&#12465;&#12523;&#12488;&#12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Job\DELL(HM)\My%20Jobs\Saekong\Sekong(&#3648;&#3627;&#3617;&#3633;&#3609;&#3605;&#3660;)\Nonthaburi%20Bridge\Constrcution%20Stage\Working%20Budget\R17_Control%20Budget_revise%20budget_end%20of%20Oct.1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Jobs\HPC\04-HM%20Project\04-2020%20Relocation\2022\Bidding\Accom\Boq%20Structure.%20work%20repair%20O_M%20Accomm.%20of%20damage%20from%20earthquake%20nov%202019%20for%20C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Job\DELL(HM)\My%20Jobs\Saekong\Sekong(&#3648;&#3627;&#3617;&#3633;&#3609;&#3605;&#3660;)\My%20Jobs\&#3619;&#3606;&#3652;&#3615;&#3615;&#3657;&#3634;&#3626;&#3637;&#3648;&#3586;&#3637;&#3618;&#3623;\&#3651;&#3594;&#3657;&#3591;&#3634;&#3609;\Add.02%20Backup%20Cost%20Estimation_Green%20L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Job\DELL(HM)\My%20Jobs\Saekong\Sekong(&#3648;&#3627;&#3617;&#3633;&#3609;&#3605;&#3660;)\Saekong%20BOQ.%20ITD.(SMCC)R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a%20buri\kk\THSR%20C-250\Old%20Price%20Schedule\Boq-JV\maj-eq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Jobs\HPC\04-HM%20Project\04-2020%20Relocation\2022\Bidding\Accom\No.%2015%20Payment%20Banyan%20Tree%20%20(Super%20Structure)%20%20Oct'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a%20buri\Suvarnabhumi%20International%20Airport\Document%20from%20TT\DOCUME~1\CH-CHA~1\LOCALS~1\Temp\B1%20P2%20BQ%20Book%2001%20Summary%20etcPT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Job\DELL(HM)\My%20Jobs\Saekong\Sekong(&#3648;&#3627;&#3617;&#3633;&#3609;&#3605;&#3660;)\Green%20Line\Green%20Line_C%231_Format%20Cost%20Estimation_New%20BO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ケルトン"/>
      <sheetName val="支承反力"/>
      <sheetName val="ゴム形状"/>
      <sheetName val="せん断バネ"/>
      <sheetName val="変形量"/>
      <sheetName val="圧縮応力度"/>
      <sheetName val="形状係数"/>
      <sheetName val="座屈安定性"/>
      <sheetName val="せん断歪み"/>
      <sheetName val="圧縮バネ"/>
      <sheetName val="桁回転歪み"/>
      <sheetName val="活荷重歪み量"/>
      <sheetName val="局部歪み"/>
      <sheetName val="計算結果"/>
      <sheetName val="水平力"/>
      <sheetName val="A1L固定B"/>
      <sheetName val="Ａ1ＬフランジB"/>
      <sheetName val="Ａ1Ｌアンカ－ボルト"/>
      <sheetName val="A1Lアンカ－バ－"/>
      <sheetName val="A1R固定B"/>
      <sheetName val="A1RフランジB"/>
      <sheetName val="A1Rアンカ－ボルト"/>
      <sheetName val="A1Rアンカ－バ－"/>
      <sheetName val="A2L固定B"/>
      <sheetName val="A2LフランジB"/>
      <sheetName val="A2Lアンカ－ボルト"/>
      <sheetName val="A2Lアンカ－バ－"/>
      <sheetName val="A2R固定B"/>
      <sheetName val="A2RフランジB"/>
      <sheetName val="A2Rアンカ－ボルト"/>
      <sheetName val="A2Rアンカ－バ－"/>
      <sheetName val="固定装置"/>
      <sheetName val="重量.1"/>
      <sheetName val="重量.2"/>
      <sheetName val="重量.3"/>
      <sheetName val="重量.4"/>
      <sheetName val="重量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Manpower"/>
      <sheetName val="man"/>
      <sheetName val="Sheet1"/>
      <sheetName val="mantable"/>
      <sheetName val="Sheet3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Material"/>
      <sheetName val="mat"/>
      <sheetName val="Sheet1"/>
      <sheetName val="mattable"/>
      <sheetName val="Sheet3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-P3 "/>
      <sheetName val="Sum"/>
      <sheetName val="Air-East"/>
      <sheetName val="Air-West"/>
      <sheetName val="Concourse-A"/>
      <sheetName val="Concourse-B"/>
      <sheetName val="Concourse-C"/>
      <sheetName val="Concourse-D"/>
      <sheetName val="Concourse-E"/>
      <sheetName val="Concourse-F"/>
      <sheetName val="Concourse-G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rice"/>
      <sheetName val="Item.cal"/>
      <sheetName val="Mat+Sub.con"/>
      <sheetName val="Manpower+Equip"/>
      <sheetName val="pier_sch"/>
      <sheetName val="pile+footing"/>
      <sheetName val="column+portal"/>
      <sheetName val="segment"/>
      <sheetName val="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linkler"/>
      <sheetName val="siamese"/>
      <sheetName val="AIR"/>
      <sheetName val="2"/>
      <sheetName val="2-A"/>
      <sheetName val="2-B "/>
      <sheetName val="2-C"/>
      <sheetName val="2-D"/>
      <sheetName val="2-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e"/>
      <sheetName val="sum"/>
      <sheetName val="External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 No. 2 - Carpark"/>
      <sheetName val="ANALYSIS"/>
      <sheetName val="resource1"/>
    </sheetNames>
    <sheetDataSet>
      <sheetData sheetId="0" refreshError="1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 Up Pile Tes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ทม กันยา 55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ケルトン"/>
      <sheetName val="死荷重"/>
      <sheetName val="枠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ubjob"/>
      <sheetName val="cost analysis"/>
      <sheetName val="sum.proposed design"/>
      <sheetName val="sum.itd_actual"/>
      <sheetName val="sum.ct.bg"/>
      <sheetName val="budget"/>
      <sheetName val="bridge.bg"/>
      <sheetName val="qty+mat.+subcon"/>
      <sheetName val="bridge.bg.old"/>
      <sheetName val="ud.bg"/>
      <sheetName val="CS.Struct"/>
      <sheetName val="CS.Etc."/>
      <sheetName val="CS.Struct_Tender"/>
      <sheetName val="Basic Rate"/>
      <sheetName val="Sum"/>
      <sheetName val="Supp+Sub.con"/>
      <sheetName val="Indirect"/>
      <sheetName val="MP Sch."/>
      <sheetName val="MP Sch._JM"/>
      <sheetName val="Equip.Sch."/>
      <sheetName val="Org"/>
      <sheetName val="Ind-M"/>
      <sheetName val="Dir_M"/>
      <sheetName val="Equip.Sch_J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AT O&amp;M ACCOMMODATION E9 "/>
      <sheetName val="Back up (F1'C1)"/>
      <sheetName val="Back up (F2'C1)"/>
      <sheetName val="Back up (F3'C2)"/>
      <sheetName val="Back up (B1)"/>
      <sheetName val="Back up (B2)"/>
      <sheetName val="Back up (B3)"/>
      <sheetName val="Back up (B4)"/>
      <sheetName val="Back up (B5)"/>
      <sheetName val="Back up (C1)"/>
      <sheetName val="Back up (C2)"/>
      <sheetName val="Back up (roof beam&amp;Roof frame)"/>
      <sheetName val="Back up (Slab)"/>
    </sheetNames>
    <sheetDataSet>
      <sheetData sheetId="0" refreshError="1"/>
      <sheetData sheetId="1">
        <row r="5">
          <cell r="T5">
            <v>9.879999999999999</v>
          </cell>
        </row>
        <row r="6">
          <cell r="T6">
            <v>8.9086419753086403</v>
          </cell>
        </row>
        <row r="7">
          <cell r="T7">
            <v>6.0300000000000011</v>
          </cell>
        </row>
        <row r="8">
          <cell r="T8">
            <v>0.2</v>
          </cell>
        </row>
        <row r="9">
          <cell r="T9">
            <v>0.24000000000000005</v>
          </cell>
        </row>
        <row r="10">
          <cell r="T10">
            <v>9.6000000000000014</v>
          </cell>
        </row>
        <row r="13">
          <cell r="T13">
            <v>17.783861000000002</v>
          </cell>
        </row>
        <row r="14">
          <cell r="T14">
            <v>18.971232000000001</v>
          </cell>
        </row>
        <row r="15">
          <cell r="T15">
            <v>63.174612022956985</v>
          </cell>
        </row>
        <row r="17">
          <cell r="T17">
            <v>2.9978911506887096</v>
          </cell>
        </row>
        <row r="18">
          <cell r="T18">
            <v>1.9200000000000002</v>
          </cell>
        </row>
      </sheetData>
      <sheetData sheetId="2">
        <row r="5">
          <cell r="T5">
            <v>113.72400000000003</v>
          </cell>
        </row>
        <row r="6">
          <cell r="T6">
            <v>100.19000000000003</v>
          </cell>
        </row>
        <row r="7">
          <cell r="T7">
            <v>2.4300000000000002</v>
          </cell>
        </row>
        <row r="8">
          <cell r="T8">
            <v>2.1870000000000003</v>
          </cell>
        </row>
        <row r="9">
          <cell r="T9">
            <v>1.4400000000000004</v>
          </cell>
        </row>
        <row r="10">
          <cell r="T10">
            <v>80.640000000000015</v>
          </cell>
        </row>
        <row r="13">
          <cell r="T13">
            <v>112.66990860000001</v>
          </cell>
        </row>
        <row r="14">
          <cell r="T14">
            <v>33.97399200000001</v>
          </cell>
        </row>
        <row r="15">
          <cell r="T15">
            <v>424.26430938595166</v>
          </cell>
        </row>
        <row r="17">
          <cell r="T17">
            <v>17.127246299578548</v>
          </cell>
        </row>
        <row r="18">
          <cell r="T18">
            <v>16.128000000000004</v>
          </cell>
        </row>
      </sheetData>
      <sheetData sheetId="3">
        <row r="5">
          <cell r="T5">
            <v>176.90400000000002</v>
          </cell>
        </row>
        <row r="6">
          <cell r="T6">
            <v>154.56</v>
          </cell>
        </row>
        <row r="7">
          <cell r="T7">
            <v>3.6000000000000005</v>
          </cell>
        </row>
        <row r="8">
          <cell r="T8">
            <v>3.2400000000000007</v>
          </cell>
        </row>
        <row r="9">
          <cell r="T9">
            <v>1.7999999999999998</v>
          </cell>
        </row>
        <row r="10">
          <cell r="T10">
            <v>94.800000000000011</v>
          </cell>
        </row>
        <row r="13">
          <cell r="T13">
            <v>123.84331699999998</v>
          </cell>
        </row>
        <row r="14">
          <cell r="T14">
            <v>60.495000000000005</v>
          </cell>
        </row>
        <row r="15">
          <cell r="T15">
            <v>390.82750820661283</v>
          </cell>
        </row>
        <row r="17">
          <cell r="T17">
            <v>17.254974756198383</v>
          </cell>
        </row>
        <row r="18">
          <cell r="T18">
            <v>18.96</v>
          </cell>
        </row>
      </sheetData>
      <sheetData sheetId="4">
        <row r="8">
          <cell r="V8">
            <v>0.74</v>
          </cell>
        </row>
        <row r="9">
          <cell r="V9">
            <v>5.9200000000000008</v>
          </cell>
        </row>
        <row r="10">
          <cell r="V10">
            <v>59.2</v>
          </cell>
        </row>
        <row r="13">
          <cell r="V13">
            <v>420.78820000000007</v>
          </cell>
        </row>
        <row r="14">
          <cell r="V14">
            <v>379.42464000000001</v>
          </cell>
        </row>
        <row r="17">
          <cell r="V17">
            <v>24.006385200000004</v>
          </cell>
        </row>
        <row r="18">
          <cell r="V18">
            <v>11.840000000000002</v>
          </cell>
        </row>
      </sheetData>
      <sheetData sheetId="5">
        <row r="8">
          <cell r="V8">
            <v>0.59000000000000008</v>
          </cell>
        </row>
        <row r="9">
          <cell r="V9">
            <v>4.7200000000000015</v>
          </cell>
        </row>
        <row r="10">
          <cell r="V10">
            <v>47.2</v>
          </cell>
        </row>
        <row r="13">
          <cell r="V13">
            <v>335.72320000000002</v>
          </cell>
        </row>
        <row r="14">
          <cell r="V14">
            <v>137.44464000000002</v>
          </cell>
        </row>
        <row r="15">
          <cell r="V15">
            <v>252.39648</v>
          </cell>
        </row>
        <row r="17">
          <cell r="V17">
            <v>21.766929600000001</v>
          </cell>
        </row>
        <row r="18">
          <cell r="V18">
            <v>9.4400000000000013</v>
          </cell>
        </row>
      </sheetData>
      <sheetData sheetId="6">
        <row r="8">
          <cell r="W8">
            <v>2.4080000000000004</v>
          </cell>
        </row>
        <row r="9">
          <cell r="W9">
            <v>19.264000000000003</v>
          </cell>
        </row>
        <row r="10">
          <cell r="W10">
            <v>192.64</v>
          </cell>
        </row>
        <row r="13">
          <cell r="W13">
            <v>1815.8542000000002</v>
          </cell>
        </row>
        <row r="15">
          <cell r="W15">
            <v>2172.0316800000001</v>
          </cell>
        </row>
        <row r="17">
          <cell r="W17">
            <v>119.63657640000001</v>
          </cell>
        </row>
        <row r="18">
          <cell r="W18">
            <v>38.527999999999999</v>
          </cell>
        </row>
      </sheetData>
      <sheetData sheetId="7">
        <row r="9">
          <cell r="W9">
            <v>10.76</v>
          </cell>
        </row>
        <row r="10">
          <cell r="W10">
            <v>107.6</v>
          </cell>
        </row>
        <row r="13">
          <cell r="W13">
            <v>1213.3800000000001</v>
          </cell>
        </row>
        <row r="16">
          <cell r="W16">
            <v>1518.6860999999997</v>
          </cell>
        </row>
        <row r="17">
          <cell r="W17">
            <v>81.961983000000004</v>
          </cell>
        </row>
        <row r="18">
          <cell r="W18">
            <v>21.52</v>
          </cell>
        </row>
      </sheetData>
      <sheetData sheetId="8">
        <row r="9">
          <cell r="W9">
            <v>17.919999999999998</v>
          </cell>
        </row>
        <row r="10">
          <cell r="W10">
            <v>179.2</v>
          </cell>
        </row>
        <row r="13">
          <cell r="W13">
            <v>2021.3156000000001</v>
          </cell>
        </row>
        <row r="16">
          <cell r="W16">
            <v>1908.8072999999999</v>
          </cell>
        </row>
        <row r="17">
          <cell r="W17">
            <v>117.90368700000001</v>
          </cell>
        </row>
        <row r="18">
          <cell r="W18">
            <v>35.839999999999996</v>
          </cell>
        </row>
      </sheetData>
      <sheetData sheetId="9">
        <row r="9">
          <cell r="T9">
            <v>3.640000000000001</v>
          </cell>
        </row>
        <row r="10">
          <cell r="T10">
            <v>72.8</v>
          </cell>
        </row>
        <row r="13">
          <cell r="T13">
            <v>217.07458080000004</v>
          </cell>
        </row>
        <row r="14">
          <cell r="T14">
            <v>352.32288000000005</v>
          </cell>
        </row>
        <row r="17">
          <cell r="T17">
            <v>17.081923824</v>
          </cell>
        </row>
        <row r="18">
          <cell r="T18">
            <v>14.56</v>
          </cell>
        </row>
      </sheetData>
      <sheetData sheetId="10">
        <row r="9">
          <cell r="T9">
            <v>3.9000000000000004</v>
          </cell>
        </row>
        <row r="10">
          <cell r="T10">
            <v>65</v>
          </cell>
        </row>
        <row r="13">
          <cell r="T13">
            <v>202.03911199999999</v>
          </cell>
        </row>
        <row r="15">
          <cell r="T15">
            <v>462.13440000000003</v>
          </cell>
        </row>
        <row r="17">
          <cell r="T17">
            <v>19.925205360000003</v>
          </cell>
        </row>
        <row r="18">
          <cell r="T18">
            <v>13</v>
          </cell>
        </row>
      </sheetData>
      <sheetData sheetId="11">
        <row r="6">
          <cell r="I6">
            <v>4401.0960000000005</v>
          </cell>
        </row>
        <row r="7">
          <cell r="I7">
            <v>150.08000000000001</v>
          </cell>
        </row>
        <row r="10">
          <cell r="I10">
            <v>926.9</v>
          </cell>
        </row>
        <row r="11">
          <cell r="I11">
            <v>27.599999999999998</v>
          </cell>
        </row>
        <row r="14">
          <cell r="I14">
            <v>746.11849999999993</v>
          </cell>
        </row>
        <row r="15">
          <cell r="I15">
            <v>63.583999999999996</v>
          </cell>
        </row>
        <row r="18">
          <cell r="I18">
            <v>3897.69</v>
          </cell>
        </row>
        <row r="19">
          <cell r="I19">
            <v>332.16</v>
          </cell>
        </row>
        <row r="22">
          <cell r="I22">
            <v>7233.4</v>
          </cell>
        </row>
        <row r="23">
          <cell r="I23">
            <v>625.4</v>
          </cell>
        </row>
      </sheetData>
      <sheetData sheetId="12">
        <row r="5">
          <cell r="G5">
            <v>13.840000000000002</v>
          </cell>
        </row>
        <row r="7">
          <cell r="G7">
            <v>1035.924</v>
          </cell>
        </row>
        <row r="10">
          <cell r="G10">
            <v>28.85</v>
          </cell>
        </row>
        <row r="15">
          <cell r="G15">
            <v>22.591999999999999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"/>
      <sheetName val="Factor"/>
      <sheetName val="Summary"/>
      <sheetName val="Item.cal"/>
      <sheetName val="Mat+Sub.con"/>
      <sheetName val="Manpower+Equip"/>
      <sheetName val="Backup Bill no.01"/>
      <sheetName val="Backup Bill no.01(2)"/>
      <sheetName val="Strom Drain"/>
      <sheetName val="Back up Steel Bridge"/>
      <sheetName val="Pump R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der"/>
      <sheetName val="Summary (Sumitomo)"/>
      <sheetName val="ITD. BOQ. (Sumitomo)"/>
      <sheetName val="Indirect Cost (Sumitomo)"/>
      <sheetName val="Summary"/>
      <sheetName val="ITD. BOQ. (1)"/>
      <sheetName val="ITD. BOQ."/>
      <sheetName val="Indirect Cost"/>
      <sheetName val="Unit Rate"/>
      <sheetName val="Rate AA"/>
      <sheetName val="Rate AA (2)"/>
      <sheetName val="Temp.&amp;Diversion for bridge"/>
      <sheetName val="Sutructual Quantity Summary"/>
      <sheetName val="Road Quantity Summary"/>
      <sheetName val="Road計算"/>
      <sheetName val="form work (2)"/>
      <sheetName val="BQ Sum"/>
      <sheetName val="General"/>
      <sheetName val="A1+Pile"/>
      <sheetName val="P1"/>
      <sheetName val="P2"/>
      <sheetName val="P3"/>
      <sheetName val="A2"/>
      <sheetName val="MainG"/>
      <sheetName val="Bridge Surface"/>
      <sheetName val="Road"/>
      <sheetName val="Common Tempo"/>
      <sheetName val="Transport"/>
      <sheetName val="Skilled Worker"/>
      <sheetName val="Admin"/>
      <sheetName val="Office Expenses"/>
      <sheetName val="Project Cost Comparison Chasrt"/>
      <sheetName val="鉄筋重ね継手長"/>
      <sheetName val="Concrete Pavemen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quipment"/>
      <sheetName val="eq"/>
      <sheetName val="Sheet1"/>
      <sheetName val="eqtable"/>
      <sheetName val="Sheet2"/>
      <sheetName val="Sheet3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t"/>
      <sheetName val="INV "/>
      <sheetName val="FS1"/>
      <sheetName val="S1 Prelim"/>
      <sheetName val="S2 Std Villa"/>
      <sheetName val="S3 Delux Villa"/>
      <sheetName val="S4 Spa Villa"/>
      <sheetName val="S5 Twin Villa"/>
      <sheetName val="S6 BOH Kitchen"/>
      <sheetName val="S7 BOH Admin"/>
      <sheetName val="S8 Meeting Complex"/>
      <sheetName val="S9 Front of House Building"/>
      <sheetName val="S10 Spa"/>
      <sheetName val="S11 Deluxe Spa"/>
      <sheetName val="S12 Deluxe Spa with bar"/>
      <sheetName val="S13 Std Spa"/>
      <sheetName val="S14 Saffron"/>
      <sheetName val="S15 Maid Station"/>
      <sheetName val="S16 Sub Station"/>
      <sheetName val="S17 Watertank"/>
      <sheetName val="S18 Main Pool"/>
      <sheetName val="S19 Lawn"/>
      <sheetName val="S20 Infra"/>
      <sheetName val="S21 EE Infra (2)"/>
      <sheetName val="S24 Main Entrance"/>
      <sheetName val="S25 Provisional Sum"/>
      <sheetName val="S26 Prime Cost Sum"/>
      <sheetName val="Prelim classified"/>
      <sheetName val="VO."/>
      <sheetName val="SAP formate 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usL"/>
      <sheetName val="BOQ"/>
      <sheetName val="Civil-Arch Work"/>
      <sheetName val="BK.Eq&amp;Labour"/>
      <sheetName val="BK Unit Rate"/>
      <sheetName val="ปริมาณวัสดุ"/>
      <sheetName val="ปริมาณรวม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rice"/>
      <sheetName val="Item.cal"/>
      <sheetName val="Mat+Sub.con"/>
      <sheetName val="Manpower+Equip"/>
      <sheetName val="pier_sch"/>
      <sheetName val="pile+footing"/>
      <sheetName val="column+portal"/>
      <sheetName val="segment"/>
      <sheetName val="Factor"/>
      <sheetName val="Indirect#C1"/>
      <sheetName val="Manp.#C1"/>
      <sheetName val="bond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opLeftCell="A6" zoomScale="85" zoomScaleNormal="85" zoomScaleSheetLayoutView="85" workbookViewId="0">
      <selection activeCell="J17" sqref="J17"/>
    </sheetView>
  </sheetViews>
  <sheetFormatPr defaultColWidth="9.140625" defaultRowHeight="18.75"/>
  <cols>
    <col min="1" max="1" width="6.42578125" style="300" customWidth="1"/>
    <col min="2" max="2" width="5.140625" style="300" customWidth="1"/>
    <col min="3" max="3" width="8" style="316" customWidth="1"/>
    <col min="4" max="4" width="67.42578125" style="300" customWidth="1"/>
    <col min="5" max="5" width="10.7109375" style="300" customWidth="1"/>
    <col min="6" max="6" width="10.5703125" style="300" bestFit="1" customWidth="1"/>
    <col min="7" max="9" width="20.7109375" style="300" customWidth="1"/>
    <col min="10" max="10" width="23.7109375" style="351" customWidth="1"/>
    <col min="11" max="11" width="9.7109375" style="300" customWidth="1"/>
    <col min="12" max="12" width="18.42578125" style="300" customWidth="1"/>
    <col min="13" max="13" width="19.28515625" style="300" customWidth="1"/>
    <col min="14" max="14" width="12.140625" style="300" customWidth="1"/>
    <col min="15" max="18" width="14.140625" style="300" customWidth="1"/>
    <col min="19" max="16384" width="9.140625" style="300"/>
  </cols>
  <sheetData>
    <row r="1" spans="1:19" ht="34.5" hidden="1" thickBot="1">
      <c r="A1" s="1580" t="s">
        <v>0</v>
      </c>
      <c r="B1" s="1581"/>
      <c r="C1" s="1581"/>
      <c r="D1" s="1581"/>
      <c r="E1" s="1581"/>
      <c r="F1" s="1581"/>
      <c r="G1" s="1581"/>
      <c r="H1" s="1581"/>
      <c r="I1" s="1581"/>
      <c r="J1" s="1582"/>
    </row>
    <row r="2" spans="1:19" ht="31.5">
      <c r="A2" s="1583"/>
      <c r="B2" s="1583"/>
      <c r="C2" s="1583"/>
      <c r="D2" s="1583"/>
      <c r="E2" s="1583"/>
      <c r="F2" s="1583"/>
      <c r="G2" s="1583"/>
      <c r="H2" s="1583"/>
      <c r="I2" s="1583"/>
      <c r="J2" s="1583"/>
      <c r="L2" s="301"/>
      <c r="M2" s="301"/>
      <c r="N2" s="301"/>
      <c r="O2" s="301"/>
      <c r="P2" s="301"/>
      <c r="Q2" s="301"/>
      <c r="R2" s="301"/>
      <c r="S2" s="301"/>
    </row>
    <row r="3" spans="1:19" ht="26.25">
      <c r="A3" s="1584"/>
      <c r="B3" s="1584"/>
      <c r="C3" s="1584"/>
      <c r="D3" s="1584"/>
      <c r="E3" s="1584"/>
      <c r="F3" s="1584"/>
      <c r="G3" s="1584"/>
      <c r="H3" s="1584"/>
      <c r="I3" s="1584"/>
      <c r="J3" s="1584"/>
      <c r="L3" s="301"/>
      <c r="M3" s="301"/>
      <c r="N3" s="301"/>
      <c r="O3" s="301"/>
      <c r="P3" s="301"/>
      <c r="Q3" s="301"/>
      <c r="R3" s="301"/>
      <c r="S3" s="301"/>
    </row>
    <row r="4" spans="1:19" s="1211" customFormat="1" ht="26.25" customHeight="1">
      <c r="A4" s="1206" t="s">
        <v>1</v>
      </c>
      <c r="B4" s="1206"/>
      <c r="C4" s="1207"/>
      <c r="D4" s="1206" t="s">
        <v>2</v>
      </c>
      <c r="E4" s="1207"/>
      <c r="F4" s="1208"/>
      <c r="G4" s="1208"/>
      <c r="H4" s="1209"/>
      <c r="I4" s="1209"/>
      <c r="J4" s="1210"/>
      <c r="L4" s="1212"/>
      <c r="M4" s="1212"/>
      <c r="N4" s="1212"/>
      <c r="O4" s="1212"/>
      <c r="P4" s="1212"/>
      <c r="Q4" s="1212"/>
      <c r="R4" s="1585"/>
      <c r="S4" s="1212"/>
    </row>
    <row r="5" spans="1:19" s="1211" customFormat="1" ht="27" customHeight="1">
      <c r="A5" s="1206" t="s">
        <v>3</v>
      </c>
      <c r="B5" s="1206"/>
      <c r="C5" s="1207"/>
      <c r="D5" s="1206" t="s">
        <v>4</v>
      </c>
      <c r="E5" s="1207"/>
      <c r="F5" s="1208"/>
      <c r="G5" s="1208"/>
      <c r="H5" s="1209"/>
      <c r="I5" s="1209"/>
      <c r="J5" s="1213"/>
      <c r="L5" s="1212"/>
      <c r="M5" s="1212"/>
      <c r="N5" s="1212"/>
      <c r="O5" s="1212"/>
      <c r="P5" s="1212"/>
      <c r="Q5" s="1212"/>
      <c r="R5" s="1585"/>
      <c r="S5" s="1212"/>
    </row>
    <row r="6" spans="1:19" s="1211" customFormat="1" ht="32.25" customHeight="1" thickBot="1">
      <c r="A6" s="1214" t="s">
        <v>5</v>
      </c>
      <c r="B6" s="1214"/>
      <c r="C6" s="1215"/>
      <c r="D6" s="1214"/>
      <c r="E6" s="1215"/>
      <c r="F6" s="1216"/>
      <c r="G6" s="1216"/>
      <c r="H6" s="1217"/>
      <c r="I6" s="1217"/>
      <c r="J6" s="1218"/>
      <c r="L6" s="1586"/>
      <c r="M6" s="1586"/>
      <c r="N6" s="1586"/>
      <c r="O6" s="1586"/>
      <c r="P6" s="1586"/>
      <c r="Q6" s="1586"/>
      <c r="R6" s="1586"/>
      <c r="S6" s="1212"/>
    </row>
    <row r="7" spans="1:19" s="316" customFormat="1">
      <c r="A7" s="1588" t="s">
        <v>6</v>
      </c>
      <c r="B7" s="1590" t="s">
        <v>7</v>
      </c>
      <c r="C7" s="1591"/>
      <c r="D7" s="1592"/>
      <c r="E7" s="1596" t="s">
        <v>8</v>
      </c>
      <c r="F7" s="1598" t="s">
        <v>9</v>
      </c>
      <c r="G7" s="1600" t="s">
        <v>10</v>
      </c>
      <c r="H7" s="1600" t="s">
        <v>11</v>
      </c>
      <c r="I7" s="1600" t="s">
        <v>12</v>
      </c>
      <c r="J7" s="1603" t="s">
        <v>13</v>
      </c>
      <c r="L7" s="1604"/>
      <c r="M7" s="1605"/>
      <c r="N7" s="1613"/>
      <c r="O7" s="1613"/>
      <c r="P7" s="1613"/>
      <c r="Q7" s="1613"/>
      <c r="R7" s="1587"/>
      <c r="S7" s="317"/>
    </row>
    <row r="8" spans="1:19" s="316" customFormat="1">
      <c r="A8" s="1588"/>
      <c r="B8" s="1590"/>
      <c r="C8" s="1591"/>
      <c r="D8" s="1592"/>
      <c r="E8" s="1596"/>
      <c r="F8" s="1598"/>
      <c r="G8" s="1601"/>
      <c r="H8" s="1601"/>
      <c r="I8" s="1601"/>
      <c r="J8" s="1603"/>
      <c r="L8" s="1604"/>
      <c r="M8" s="1605"/>
      <c r="N8" s="318"/>
      <c r="O8" s="319"/>
      <c r="P8" s="319"/>
      <c r="Q8" s="319"/>
      <c r="R8" s="1587"/>
      <c r="S8" s="317"/>
    </row>
    <row r="9" spans="1:19" s="316" customFormat="1">
      <c r="A9" s="1589"/>
      <c r="B9" s="1593"/>
      <c r="C9" s="1594"/>
      <c r="D9" s="1595"/>
      <c r="E9" s="1597"/>
      <c r="F9" s="1599"/>
      <c r="G9" s="1602"/>
      <c r="H9" s="1602"/>
      <c r="I9" s="1602"/>
      <c r="J9" s="321" t="s">
        <v>14</v>
      </c>
      <c r="L9" s="1604"/>
      <c r="M9" s="1605"/>
      <c r="N9" s="322"/>
      <c r="O9" s="319"/>
      <c r="P9" s="319"/>
      <c r="Q9" s="319"/>
      <c r="R9" s="319"/>
      <c r="S9" s="317"/>
    </row>
    <row r="10" spans="1:19" s="316" customFormat="1">
      <c r="A10" s="323">
        <v>1</v>
      </c>
      <c r="B10" s="329" t="s">
        <v>15</v>
      </c>
      <c r="C10" s="325"/>
      <c r="D10" s="326"/>
      <c r="E10" s="563"/>
      <c r="F10" s="562" t="s">
        <v>16</v>
      </c>
      <c r="G10" s="320"/>
      <c r="H10" s="320"/>
      <c r="I10" s="315"/>
      <c r="J10" s="1440"/>
      <c r="L10" s="327"/>
      <c r="M10" s="328"/>
      <c r="N10" s="322"/>
      <c r="O10" s="319"/>
      <c r="P10" s="319"/>
      <c r="Q10" s="319"/>
      <c r="R10" s="319"/>
      <c r="S10" s="317"/>
    </row>
    <row r="11" spans="1:19" s="316" customFormat="1">
      <c r="A11" s="323">
        <v>2</v>
      </c>
      <c r="B11" s="329" t="s">
        <v>17</v>
      </c>
      <c r="C11" s="324"/>
      <c r="D11" s="562"/>
      <c r="E11" s="563"/>
      <c r="F11" s="562" t="s">
        <v>16</v>
      </c>
      <c r="G11" s="564"/>
      <c r="H11" s="568"/>
      <c r="I11" s="564"/>
      <c r="J11" s="577"/>
      <c r="L11" s="327"/>
      <c r="M11" s="328"/>
      <c r="N11" s="322"/>
      <c r="O11" s="319"/>
      <c r="P11" s="319"/>
      <c r="Q11" s="319"/>
      <c r="R11" s="319"/>
      <c r="S11" s="317"/>
    </row>
    <row r="12" spans="1:19" s="316" customFormat="1">
      <c r="A12" s="323">
        <v>3</v>
      </c>
      <c r="B12" s="324" t="s">
        <v>18</v>
      </c>
      <c r="C12" s="329"/>
      <c r="D12" s="326"/>
      <c r="E12" s="1472"/>
      <c r="F12" s="562" t="s">
        <v>19</v>
      </c>
      <c r="G12" s="564"/>
      <c r="H12" s="564"/>
      <c r="I12" s="564"/>
      <c r="J12" s="577"/>
      <c r="L12" s="327"/>
      <c r="M12" s="1305"/>
      <c r="N12" s="322"/>
      <c r="O12" s="319"/>
      <c r="P12" s="319"/>
      <c r="Q12" s="319"/>
      <c r="R12" s="319"/>
      <c r="S12" s="317"/>
    </row>
    <row r="13" spans="1:19" s="316" customFormat="1">
      <c r="A13" s="323">
        <v>4</v>
      </c>
      <c r="B13" s="324" t="s">
        <v>20</v>
      </c>
      <c r="C13" s="329"/>
      <c r="D13" s="326"/>
      <c r="E13" s="563"/>
      <c r="F13" s="562" t="s">
        <v>19</v>
      </c>
      <c r="G13" s="564"/>
      <c r="H13" s="564"/>
      <c r="I13" s="564"/>
      <c r="J13" s="577"/>
      <c r="L13" s="327"/>
      <c r="M13" s="1305"/>
      <c r="N13" s="322"/>
      <c r="O13" s="319"/>
      <c r="P13" s="319"/>
      <c r="Q13" s="319"/>
      <c r="R13" s="319"/>
      <c r="S13" s="317"/>
    </row>
    <row r="14" spans="1:19" s="316" customFormat="1">
      <c r="A14" s="323">
        <v>5</v>
      </c>
      <c r="B14" s="329" t="s">
        <v>21</v>
      </c>
      <c r="C14" s="324"/>
      <c r="D14" s="562"/>
      <c r="E14" s="563"/>
      <c r="F14" s="562" t="s">
        <v>16</v>
      </c>
      <c r="G14" s="564"/>
      <c r="H14" s="568"/>
      <c r="I14" s="564"/>
      <c r="J14" s="577"/>
      <c r="L14" s="330"/>
      <c r="M14" s="322"/>
      <c r="N14" s="318"/>
      <c r="O14" s="319"/>
      <c r="P14" s="319"/>
      <c r="Q14" s="319"/>
      <c r="R14" s="319"/>
      <c r="S14" s="317"/>
    </row>
    <row r="15" spans="1:19" s="316" customFormat="1">
      <c r="A15" s="323">
        <v>6</v>
      </c>
      <c r="B15" s="329" t="s">
        <v>22</v>
      </c>
      <c r="C15" s="324"/>
      <c r="D15" s="562"/>
      <c r="E15" s="563"/>
      <c r="F15" s="562" t="s">
        <v>16</v>
      </c>
      <c r="G15" s="564"/>
      <c r="H15" s="568"/>
      <c r="I15" s="564"/>
      <c r="J15" s="577"/>
      <c r="L15" s="330"/>
      <c r="M15" s="322"/>
      <c r="N15" s="318"/>
      <c r="O15" s="319"/>
      <c r="P15" s="319"/>
      <c r="Q15" s="319"/>
      <c r="R15" s="319"/>
      <c r="S15" s="317"/>
    </row>
    <row r="16" spans="1:19" s="316" customFormat="1">
      <c r="A16" s="323">
        <v>7</v>
      </c>
      <c r="B16" s="329" t="s">
        <v>23</v>
      </c>
      <c r="C16" s="324"/>
      <c r="D16" s="326"/>
      <c r="E16" s="563"/>
      <c r="F16" s="562" t="s">
        <v>16</v>
      </c>
      <c r="G16" s="570"/>
      <c r="H16" s="571"/>
      <c r="I16" s="564"/>
      <c r="J16" s="569"/>
      <c r="L16" s="330"/>
      <c r="M16" s="322"/>
      <c r="N16" s="318"/>
      <c r="O16" s="319"/>
      <c r="P16" s="319"/>
      <c r="Q16" s="319"/>
      <c r="R16" s="319"/>
      <c r="S16" s="317"/>
    </row>
    <row r="17" spans="1:19" s="316" customFormat="1">
      <c r="A17" s="323">
        <v>8</v>
      </c>
      <c r="B17" s="329" t="s">
        <v>24</v>
      </c>
      <c r="C17" s="324"/>
      <c r="D17" s="326"/>
      <c r="E17" s="563"/>
      <c r="F17" s="562" t="s">
        <v>16</v>
      </c>
      <c r="G17" s="570"/>
      <c r="H17" s="571"/>
      <c r="I17" s="564"/>
      <c r="J17" s="569"/>
      <c r="L17" s="330"/>
      <c r="M17" s="322"/>
      <c r="N17" s="318"/>
      <c r="O17" s="319"/>
      <c r="P17" s="319"/>
      <c r="Q17" s="319"/>
      <c r="R17" s="319"/>
      <c r="S17" s="317"/>
    </row>
    <row r="18" spans="1:19" s="316" customFormat="1">
      <c r="A18" s="323">
        <v>9</v>
      </c>
      <c r="B18" s="329" t="s">
        <v>25</v>
      </c>
      <c r="C18" s="324"/>
      <c r="D18" s="326"/>
      <c r="E18" s="563"/>
      <c r="F18" s="562" t="s">
        <v>16</v>
      </c>
      <c r="G18" s="570"/>
      <c r="H18" s="568"/>
      <c r="I18" s="564"/>
      <c r="J18" s="569"/>
      <c r="L18" s="330"/>
      <c r="M18" s="322"/>
      <c r="N18" s="318"/>
      <c r="O18" s="319"/>
      <c r="P18" s="319"/>
      <c r="Q18" s="319"/>
      <c r="R18" s="319"/>
      <c r="S18" s="317"/>
    </row>
    <row r="19" spans="1:19" s="316" customFormat="1">
      <c r="A19" s="323">
        <v>10</v>
      </c>
      <c r="B19" s="324" t="s">
        <v>26</v>
      </c>
      <c r="C19" s="329"/>
      <c r="D19" s="326"/>
      <c r="E19" s="563"/>
      <c r="F19" s="562" t="s">
        <v>16</v>
      </c>
      <c r="G19" s="570"/>
      <c r="H19" s="571"/>
      <c r="I19" s="564"/>
      <c r="J19" s="569"/>
      <c r="L19" s="330"/>
      <c r="M19" s="322"/>
      <c r="N19" s="318"/>
      <c r="O19" s="319"/>
      <c r="P19" s="319"/>
      <c r="Q19" s="319"/>
      <c r="R19" s="319"/>
      <c r="S19" s="317"/>
    </row>
    <row r="20" spans="1:19" s="316" customFormat="1">
      <c r="A20" s="323">
        <v>11</v>
      </c>
      <c r="B20" s="324" t="s">
        <v>27</v>
      </c>
      <c r="C20" s="329"/>
      <c r="D20" s="326"/>
      <c r="E20" s="563"/>
      <c r="F20" s="562" t="s">
        <v>16</v>
      </c>
      <c r="G20" s="570"/>
      <c r="H20" s="571"/>
      <c r="I20" s="1459"/>
      <c r="J20" s="569"/>
      <c r="L20" s="330"/>
      <c r="M20" s="322"/>
      <c r="N20" s="318"/>
      <c r="O20" s="319"/>
      <c r="P20" s="319"/>
      <c r="Q20" s="319"/>
      <c r="R20" s="319"/>
      <c r="S20" s="317"/>
    </row>
    <row r="21" spans="1:19">
      <c r="A21" s="331">
        <v>12</v>
      </c>
      <c r="B21" s="1579" t="s">
        <v>28</v>
      </c>
      <c r="C21" s="332"/>
      <c r="D21" s="333"/>
      <c r="E21" s="334"/>
      <c r="F21" s="562" t="s">
        <v>16</v>
      </c>
      <c r="G21" s="565"/>
      <c r="H21" s="566"/>
      <c r="I21" s="567"/>
      <c r="J21" s="569"/>
      <c r="L21" s="335"/>
      <c r="M21" s="336"/>
      <c r="N21" s="337"/>
      <c r="O21" s="338"/>
      <c r="P21" s="337"/>
      <c r="Q21" s="339"/>
      <c r="R21" s="340"/>
      <c r="S21" s="301"/>
    </row>
    <row r="22" spans="1:19">
      <c r="A22" s="341"/>
      <c r="B22" s="342"/>
      <c r="C22" s="342"/>
      <c r="D22" s="1611" t="s">
        <v>13</v>
      </c>
      <c r="E22" s="1611"/>
      <c r="F22" s="1611"/>
      <c r="G22" s="1611"/>
      <c r="H22" s="1611"/>
      <c r="I22" s="1612"/>
      <c r="J22" s="1275"/>
      <c r="L22" s="343"/>
      <c r="M22" s="344"/>
      <c r="N22" s="345"/>
      <c r="O22" s="346"/>
      <c r="P22" s="347"/>
      <c r="Q22" s="345"/>
      <c r="R22" s="348"/>
      <c r="S22" s="301"/>
    </row>
    <row r="23" spans="1:19">
      <c r="A23" s="341"/>
      <c r="B23" s="342"/>
      <c r="C23" s="342"/>
      <c r="D23" s="1609" t="s">
        <v>29</v>
      </c>
      <c r="E23" s="1609"/>
      <c r="F23" s="1609"/>
      <c r="G23" s="1609"/>
      <c r="H23" s="1609"/>
      <c r="I23" s="1610"/>
      <c r="J23" s="554"/>
      <c r="L23" s="343"/>
      <c r="M23" s="344"/>
      <c r="N23" s="345"/>
      <c r="O23" s="346"/>
      <c r="P23" s="347"/>
      <c r="Q23" s="345"/>
      <c r="R23" s="348"/>
      <c r="S23" s="301"/>
    </row>
    <row r="24" spans="1:19" ht="21.75" thickBot="1">
      <c r="A24" s="1606" t="s">
        <v>30</v>
      </c>
      <c r="B24" s="1607"/>
      <c r="C24" s="1607"/>
      <c r="D24" s="1607"/>
      <c r="E24" s="1607"/>
      <c r="F24" s="1607"/>
      <c r="G24" s="1607"/>
      <c r="H24" s="1607"/>
      <c r="I24" s="1608"/>
      <c r="J24" s="1276"/>
      <c r="L24" s="301"/>
      <c r="M24" s="350"/>
      <c r="N24" s="301"/>
      <c r="O24" s="340"/>
      <c r="P24" s="340"/>
      <c r="Q24" s="340"/>
      <c r="R24" s="340"/>
      <c r="S24" s="301"/>
    </row>
    <row r="25" spans="1:19">
      <c r="L25" s="301"/>
      <c r="M25" s="301"/>
      <c r="N25" s="301"/>
      <c r="O25" s="301"/>
      <c r="P25" s="301"/>
      <c r="Q25" s="301"/>
      <c r="R25" s="301"/>
      <c r="S25" s="301"/>
    </row>
    <row r="26" spans="1:19">
      <c r="J26" s="417"/>
      <c r="L26" s="301"/>
      <c r="M26" s="301"/>
      <c r="N26" s="301"/>
      <c r="O26" s="301"/>
      <c r="P26" s="301"/>
      <c r="Q26" s="301"/>
      <c r="R26" s="301"/>
      <c r="S26" s="301"/>
    </row>
    <row r="27" spans="1:19">
      <c r="I27" s="351"/>
      <c r="J27" s="300"/>
    </row>
    <row r="28" spans="1:19">
      <c r="J28" s="300"/>
    </row>
    <row r="29" spans="1:19" ht="27">
      <c r="H29" s="1448"/>
      <c r="I29" s="351"/>
      <c r="J29" s="300"/>
    </row>
    <row r="30" spans="1:19">
      <c r="J30" s="300"/>
    </row>
    <row r="31" spans="1:19">
      <c r="J31" s="300"/>
    </row>
    <row r="32" spans="1:19">
      <c r="J32" s="300"/>
    </row>
    <row r="33" spans="10:10">
      <c r="J33" s="300"/>
    </row>
  </sheetData>
  <mergeCells count="21">
    <mergeCell ref="A24:I24"/>
    <mergeCell ref="D23:I23"/>
    <mergeCell ref="D22:I22"/>
    <mergeCell ref="N7:O7"/>
    <mergeCell ref="P7:Q7"/>
    <mergeCell ref="G7:G9"/>
    <mergeCell ref="H7:H9"/>
    <mergeCell ref="R7:R8"/>
    <mergeCell ref="A7:A9"/>
    <mergeCell ref="B7:D9"/>
    <mergeCell ref="E7:E9"/>
    <mergeCell ref="F7:F9"/>
    <mergeCell ref="I7:I9"/>
    <mergeCell ref="J7:J8"/>
    <mergeCell ref="L7:L9"/>
    <mergeCell ref="M7:M9"/>
    <mergeCell ref="A1:J1"/>
    <mergeCell ref="A2:J2"/>
    <mergeCell ref="A3:J3"/>
    <mergeCell ref="R4:R5"/>
    <mergeCell ref="L6:R6"/>
  </mergeCells>
  <printOptions horizontalCentered="1"/>
  <pageMargins left="0.67" right="0.2" top="0.5" bottom="0.5" header="0.3" footer="0.3"/>
  <pageSetup paperSize="9" scale="67" fitToHeight="0" orientation="landscape" r:id="rId1"/>
  <colBreaks count="1" manualBreakCount="1">
    <brk id="10" max="26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6C8C-9C91-4A27-BBD3-24CD3AA16029}">
  <sheetPr>
    <tabColor rgb="FF92D050"/>
  </sheetPr>
  <dimension ref="A1:T44"/>
  <sheetViews>
    <sheetView view="pageBreakPreview" zoomScale="60" zoomScaleNormal="85" workbookViewId="0">
      <selection activeCell="I34" sqref="I34"/>
    </sheetView>
  </sheetViews>
  <sheetFormatPr defaultColWidth="15.5703125" defaultRowHeight="17.25"/>
  <cols>
    <col min="1" max="1" width="13.140625" style="1042" customWidth="1"/>
    <col min="2" max="2" width="19.5703125" style="1042" bestFit="1" customWidth="1"/>
    <col min="3" max="3" width="15.5703125" style="1042"/>
    <col min="4" max="4" width="28" style="1042" customWidth="1"/>
    <col min="5" max="5" width="11.140625" style="1042" bestFit="1" customWidth="1"/>
    <col min="6" max="6" width="6.42578125" style="1042" bestFit="1" customWidth="1"/>
    <col min="7" max="7" width="13.5703125" style="1042" bestFit="1" customWidth="1"/>
    <col min="8" max="8" width="15.42578125" style="1042" bestFit="1" customWidth="1"/>
    <col min="9" max="9" width="15.140625" style="1042" customWidth="1"/>
    <col min="10" max="10" width="13.5703125" style="1042" bestFit="1" customWidth="1"/>
    <col min="11" max="11" width="14.85546875" style="1042" bestFit="1" customWidth="1"/>
    <col min="12" max="12" width="16.140625" style="1042" bestFit="1" customWidth="1"/>
    <col min="13" max="16384" width="15.5703125" style="1042"/>
  </cols>
  <sheetData>
    <row r="1" spans="1:20" s="10" customFormat="1" ht="38.25">
      <c r="A1" s="1663" t="s">
        <v>0</v>
      </c>
      <c r="B1" s="1664"/>
      <c r="C1" s="1664"/>
      <c r="D1" s="1664"/>
      <c r="E1" s="1664"/>
      <c r="F1" s="1664"/>
      <c r="G1" s="1664"/>
      <c r="H1" s="1664"/>
      <c r="I1" s="1664"/>
      <c r="J1" s="1664"/>
      <c r="K1" s="1664"/>
      <c r="L1" s="1665"/>
      <c r="M1" s="937"/>
      <c r="N1" s="151"/>
      <c r="O1" s="151"/>
    </row>
    <row r="2" spans="1:20" s="10" customFormat="1" ht="31.5">
      <c r="A2" s="1666" t="s">
        <v>106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8"/>
      <c r="M2" s="937"/>
      <c r="N2" s="151"/>
      <c r="O2" s="151"/>
    </row>
    <row r="3" spans="1:20" s="10" customFormat="1" ht="26.25" customHeight="1">
      <c r="A3" s="153" t="s">
        <v>1</v>
      </c>
      <c r="B3" s="89"/>
      <c r="C3" s="90"/>
      <c r="D3" s="89" t="s">
        <v>559</v>
      </c>
      <c r="E3" s="91"/>
      <c r="F3" s="92"/>
      <c r="G3" s="92"/>
      <c r="H3" s="91"/>
      <c r="I3" s="154" t="s">
        <v>108</v>
      </c>
      <c r="J3" s="98"/>
      <c r="K3" s="675"/>
      <c r="L3" s="99"/>
      <c r="M3" s="937"/>
      <c r="N3" s="151"/>
      <c r="O3" s="151"/>
      <c r="T3" s="1716"/>
    </row>
    <row r="4" spans="1:20" s="10" customFormat="1" ht="27" customHeight="1">
      <c r="A4" s="155" t="s">
        <v>109</v>
      </c>
      <c r="B4" s="94"/>
      <c r="C4" s="95"/>
      <c r="D4" s="1769" t="s">
        <v>1010</v>
      </c>
      <c r="E4" s="1770"/>
      <c r="F4" s="1770"/>
      <c r="G4" s="1770"/>
      <c r="H4" s="96"/>
      <c r="I4" s="154" t="s">
        <v>111</v>
      </c>
      <c r="J4" s="98"/>
      <c r="K4" s="675"/>
      <c r="L4" s="99"/>
      <c r="M4" s="937"/>
      <c r="N4" s="151"/>
      <c r="O4" s="151"/>
      <c r="T4" s="1716"/>
    </row>
    <row r="5" spans="1:20" s="10" customFormat="1" ht="27" thickBot="1">
      <c r="A5" s="156" t="s">
        <v>3</v>
      </c>
      <c r="B5" s="101"/>
      <c r="C5" s="102"/>
      <c r="D5" s="101" t="s">
        <v>561</v>
      </c>
      <c r="E5" s="103"/>
      <c r="F5" s="104"/>
      <c r="G5" s="104"/>
      <c r="H5" s="103"/>
      <c r="I5" s="157" t="s">
        <v>113</v>
      </c>
      <c r="J5" s="158"/>
      <c r="K5" s="676"/>
      <c r="L5" s="159"/>
      <c r="M5" s="937"/>
      <c r="N5" s="1717"/>
      <c r="O5" s="1717"/>
      <c r="P5" s="1717"/>
      <c r="Q5" s="1717"/>
      <c r="R5" s="1717"/>
      <c r="S5" s="1717"/>
      <c r="T5" s="1717"/>
    </row>
    <row r="6" spans="1:20" ht="26.25">
      <c r="A6" s="1771" t="s">
        <v>6</v>
      </c>
      <c r="B6" s="1774" t="s">
        <v>7</v>
      </c>
      <c r="C6" s="1775"/>
      <c r="D6" s="1776"/>
      <c r="E6" s="1783" t="s">
        <v>8</v>
      </c>
      <c r="F6" s="1786" t="s">
        <v>9</v>
      </c>
      <c r="G6" s="1034" t="s">
        <v>1011</v>
      </c>
      <c r="H6" s="1034"/>
      <c r="I6" s="1789" t="s">
        <v>1012</v>
      </c>
      <c r="J6" s="1790"/>
      <c r="K6" s="1040"/>
      <c r="L6" s="1791" t="s">
        <v>13</v>
      </c>
    </row>
    <row r="7" spans="1:20" ht="26.25">
      <c r="A7" s="1772"/>
      <c r="B7" s="1777"/>
      <c r="C7" s="1778"/>
      <c r="D7" s="1779"/>
      <c r="E7" s="1784"/>
      <c r="F7" s="1787"/>
      <c r="G7" s="1035" t="s">
        <v>9</v>
      </c>
      <c r="H7" s="1036" t="s">
        <v>13</v>
      </c>
      <c r="I7" s="1035" t="s">
        <v>9</v>
      </c>
      <c r="J7" s="1036" t="s">
        <v>13</v>
      </c>
      <c r="K7" s="1041" t="s">
        <v>12</v>
      </c>
      <c r="L7" s="1792"/>
    </row>
    <row r="8" spans="1:20" ht="27" thickBot="1">
      <c r="A8" s="1773"/>
      <c r="B8" s="1780"/>
      <c r="C8" s="1781"/>
      <c r="D8" s="1782"/>
      <c r="E8" s="1785"/>
      <c r="F8" s="1788"/>
      <c r="G8" s="1037" t="s">
        <v>115</v>
      </c>
      <c r="H8" s="1038" t="s">
        <v>14</v>
      </c>
      <c r="I8" s="1037" t="s">
        <v>115</v>
      </c>
      <c r="J8" s="1038" t="s">
        <v>14</v>
      </c>
      <c r="K8" s="1038" t="s">
        <v>14</v>
      </c>
      <c r="L8" s="1039" t="s">
        <v>14</v>
      </c>
    </row>
    <row r="9" spans="1:20" ht="26.25">
      <c r="A9" s="1340">
        <v>1</v>
      </c>
      <c r="B9" s="1341" t="s">
        <v>1013</v>
      </c>
      <c r="C9" s="1341"/>
      <c r="D9" s="1341"/>
      <c r="E9" s="1342"/>
      <c r="F9" s="1342"/>
      <c r="G9" s="1343"/>
      <c r="H9" s="1344"/>
      <c r="I9" s="1343"/>
      <c r="J9" s="1344"/>
      <c r="K9" s="1344"/>
      <c r="L9" s="1345"/>
    </row>
    <row r="10" spans="1:20" ht="24">
      <c r="A10" s="1045"/>
      <c r="B10" s="1763" t="s">
        <v>1014</v>
      </c>
      <c r="C10" s="1764"/>
      <c r="D10" s="1765"/>
      <c r="E10" s="1052"/>
      <c r="F10" s="1052"/>
      <c r="G10" s="1053"/>
      <c r="H10" s="1053"/>
      <c r="I10" s="1053"/>
      <c r="J10" s="1053"/>
      <c r="K10" s="1053"/>
      <c r="L10" s="1055"/>
    </row>
    <row r="11" spans="1:20" ht="24">
      <c r="A11" s="1045"/>
      <c r="B11" s="1763" t="s">
        <v>1015</v>
      </c>
      <c r="C11" s="1764"/>
      <c r="D11" s="1764"/>
      <c r="E11" s="1053"/>
      <c r="F11" s="1052" t="s">
        <v>104</v>
      </c>
      <c r="G11" s="1053"/>
      <c r="H11" s="1053"/>
      <c r="I11" s="1053"/>
      <c r="J11" s="1053"/>
      <c r="K11" s="1053"/>
      <c r="L11" s="1062"/>
    </row>
    <row r="12" spans="1:20" ht="24">
      <c r="A12" s="1045"/>
      <c r="B12" s="1763" t="s">
        <v>1016</v>
      </c>
      <c r="C12" s="1764"/>
      <c r="D12" s="1764"/>
      <c r="E12" s="1052"/>
      <c r="F12" s="1052" t="s">
        <v>104</v>
      </c>
      <c r="G12" s="1053"/>
      <c r="H12" s="1053"/>
      <c r="I12" s="1053"/>
      <c r="J12" s="1053"/>
      <c r="K12" s="1053"/>
      <c r="L12" s="1062"/>
    </row>
    <row r="13" spans="1:20" ht="27.75">
      <c r="A13" s="1372">
        <v>2</v>
      </c>
      <c r="B13" s="1373" t="s">
        <v>1017</v>
      </c>
      <c r="C13" s="1374"/>
      <c r="D13" s="1375"/>
      <c r="E13" s="1350"/>
      <c r="F13" s="1376"/>
      <c r="G13" s="1348"/>
      <c r="H13" s="1348"/>
      <c r="I13" s="1348"/>
      <c r="J13" s="1348"/>
      <c r="K13" s="1348"/>
      <c r="L13" s="1349"/>
    </row>
    <row r="14" spans="1:20" ht="24">
      <c r="A14" s="1045"/>
      <c r="B14" s="1763" t="s">
        <v>1018</v>
      </c>
      <c r="C14" s="1764"/>
      <c r="D14" s="1765"/>
      <c r="E14" s="1351"/>
      <c r="F14" s="1052" t="s">
        <v>240</v>
      </c>
      <c r="G14" s="1053"/>
      <c r="H14" s="1053"/>
      <c r="I14" s="1053"/>
      <c r="J14" s="1053"/>
      <c r="K14" s="1053"/>
      <c r="L14" s="1062"/>
    </row>
    <row r="15" spans="1:20" ht="24">
      <c r="A15" s="1045"/>
      <c r="B15" s="1763" t="s">
        <v>1019</v>
      </c>
      <c r="C15" s="1764"/>
      <c r="D15" s="1765"/>
      <c r="E15" s="1351"/>
      <c r="F15" s="1052" t="s">
        <v>240</v>
      </c>
      <c r="G15" s="1053"/>
      <c r="H15" s="1053"/>
      <c r="I15" s="1053"/>
      <c r="J15" s="1053"/>
      <c r="K15" s="1053"/>
      <c r="L15" s="1062"/>
    </row>
    <row r="16" spans="1:20" ht="24">
      <c r="A16" s="1045"/>
      <c r="B16" s="1763" t="s">
        <v>1020</v>
      </c>
      <c r="C16" s="1764"/>
      <c r="D16" s="1765"/>
      <c r="E16" s="1351"/>
      <c r="F16" s="1052" t="s">
        <v>240</v>
      </c>
      <c r="G16" s="1053"/>
      <c r="H16" s="1053"/>
      <c r="I16" s="1053"/>
      <c r="J16" s="1053"/>
      <c r="K16" s="1053"/>
      <c r="L16" s="1062"/>
    </row>
    <row r="17" spans="1:12" ht="24">
      <c r="A17" s="1045"/>
      <c r="B17" s="1763" t="s">
        <v>1021</v>
      </c>
      <c r="C17" s="1764"/>
      <c r="D17" s="1765"/>
      <c r="E17" s="1351"/>
      <c r="F17" s="1052" t="s">
        <v>240</v>
      </c>
      <c r="G17" s="1053"/>
      <c r="H17" s="1053"/>
      <c r="I17" s="1053"/>
      <c r="J17" s="1053"/>
      <c r="K17" s="1053"/>
      <c r="L17" s="1062"/>
    </row>
    <row r="18" spans="1:12" ht="24">
      <c r="A18" s="1045"/>
      <c r="B18" s="1763" t="s">
        <v>1022</v>
      </c>
      <c r="C18" s="1764"/>
      <c r="D18" s="1765"/>
      <c r="E18" s="1351"/>
      <c r="F18" s="1052" t="s">
        <v>240</v>
      </c>
      <c r="G18" s="1053"/>
      <c r="H18" s="1053"/>
      <c r="I18" s="1053"/>
      <c r="J18" s="1053"/>
      <c r="K18" s="1053"/>
      <c r="L18" s="1062"/>
    </row>
    <row r="19" spans="1:12" ht="24">
      <c r="A19" s="1045"/>
      <c r="B19" s="1763" t="s">
        <v>1023</v>
      </c>
      <c r="C19" s="1764"/>
      <c r="D19" s="1765"/>
      <c r="E19" s="1351"/>
      <c r="F19" s="1052" t="s">
        <v>240</v>
      </c>
      <c r="G19" s="1053"/>
      <c r="H19" s="1053"/>
      <c r="I19" s="1053"/>
      <c r="J19" s="1053"/>
      <c r="K19" s="1053"/>
      <c r="L19" s="1062"/>
    </row>
    <row r="20" spans="1:12" ht="24">
      <c r="A20" s="1045"/>
      <c r="B20" s="1763" t="s">
        <v>1024</v>
      </c>
      <c r="C20" s="1764"/>
      <c r="D20" s="1765"/>
      <c r="E20" s="1351"/>
      <c r="F20" s="1052" t="s">
        <v>240</v>
      </c>
      <c r="G20" s="1053"/>
      <c r="H20" s="1053"/>
      <c r="I20" s="1053"/>
      <c r="J20" s="1053"/>
      <c r="K20" s="1053"/>
      <c r="L20" s="1062"/>
    </row>
    <row r="21" spans="1:12" ht="24">
      <c r="A21" s="1045"/>
      <c r="B21" s="1763" t="s">
        <v>1025</v>
      </c>
      <c r="C21" s="1764"/>
      <c r="D21" s="1765"/>
      <c r="E21" s="1351"/>
      <c r="F21" s="1052" t="s">
        <v>104</v>
      </c>
      <c r="G21" s="1053"/>
      <c r="H21" s="1053"/>
      <c r="I21" s="1053"/>
      <c r="J21" s="1053"/>
      <c r="K21" s="1053"/>
      <c r="L21" s="1062"/>
    </row>
    <row r="22" spans="1:12" ht="24">
      <c r="A22" s="1045"/>
      <c r="B22" s="1763" t="s">
        <v>1026</v>
      </c>
      <c r="C22" s="1764"/>
      <c r="D22" s="1765"/>
      <c r="E22" s="1351"/>
      <c r="F22" s="1052" t="s">
        <v>240</v>
      </c>
      <c r="G22" s="1053"/>
      <c r="H22" s="1053"/>
      <c r="I22" s="1053"/>
      <c r="J22" s="1053"/>
      <c r="K22" s="1053"/>
      <c r="L22" s="1062"/>
    </row>
    <row r="23" spans="1:12" ht="24">
      <c r="A23" s="1045"/>
      <c r="B23" s="1763" t="s">
        <v>1027</v>
      </c>
      <c r="C23" s="1764"/>
      <c r="D23" s="1765"/>
      <c r="E23" s="1351"/>
      <c r="F23" s="1052" t="s">
        <v>171</v>
      </c>
      <c r="G23" s="1053"/>
      <c r="H23" s="1053"/>
      <c r="I23" s="1053"/>
      <c r="J23" s="1053"/>
      <c r="K23" s="1053"/>
      <c r="L23" s="1062"/>
    </row>
    <row r="24" spans="1:12" ht="24">
      <c r="A24" s="1045"/>
      <c r="B24" s="1763" t="s">
        <v>1028</v>
      </c>
      <c r="C24" s="1764"/>
      <c r="D24" s="1765"/>
      <c r="E24" s="1351"/>
      <c r="F24" s="1052" t="s">
        <v>564</v>
      </c>
      <c r="G24" s="1053"/>
      <c r="H24" s="1053"/>
      <c r="I24" s="1053"/>
      <c r="J24" s="1053"/>
      <c r="K24" s="1053"/>
      <c r="L24" s="1062"/>
    </row>
    <row r="25" spans="1:12" ht="24">
      <c r="A25" s="1045"/>
      <c r="B25" s="1763" t="s">
        <v>1029</v>
      </c>
      <c r="C25" s="1764"/>
      <c r="D25" s="1765"/>
      <c r="E25" s="1351"/>
      <c r="F25" s="1052" t="s">
        <v>1030</v>
      </c>
      <c r="G25" s="1053"/>
      <c r="H25" s="1053"/>
      <c r="I25" s="1053"/>
      <c r="J25" s="1053"/>
      <c r="K25" s="1053"/>
      <c r="L25" s="1062"/>
    </row>
    <row r="26" spans="1:12" ht="26.25">
      <c r="A26" s="1372">
        <v>3</v>
      </c>
      <c r="B26" s="1377" t="s">
        <v>1031</v>
      </c>
      <c r="C26" s="1374"/>
      <c r="D26" s="1375"/>
      <c r="E26" s="1350"/>
      <c r="F26" s="1376"/>
      <c r="G26" s="1348"/>
      <c r="H26" s="1348"/>
      <c r="I26" s="1348"/>
      <c r="J26" s="1348"/>
      <c r="K26" s="1348"/>
      <c r="L26" s="1349"/>
    </row>
    <row r="27" spans="1:12" ht="24">
      <c r="A27" s="1045"/>
      <c r="B27" s="1346" t="s">
        <v>1032</v>
      </c>
      <c r="C27" s="1346"/>
      <c r="D27" s="1347"/>
      <c r="E27" s="1351"/>
      <c r="F27" s="1052" t="s">
        <v>104</v>
      </c>
      <c r="G27" s="1053"/>
      <c r="H27" s="1053"/>
      <c r="I27" s="1053"/>
      <c r="J27" s="1053"/>
      <c r="K27" s="1053"/>
      <c r="L27" s="1062"/>
    </row>
    <row r="28" spans="1:12" ht="24">
      <c r="A28" s="1045"/>
      <c r="B28" s="1346" t="s">
        <v>1033</v>
      </c>
      <c r="C28" s="1346"/>
      <c r="D28" s="1347"/>
      <c r="E28" s="1351"/>
      <c r="F28" s="1052" t="s">
        <v>104</v>
      </c>
      <c r="G28" s="1053"/>
      <c r="H28" s="1053"/>
      <c r="I28" s="1053"/>
      <c r="J28" s="1053"/>
      <c r="K28" s="1053"/>
      <c r="L28" s="1062"/>
    </row>
    <row r="29" spans="1:12" ht="24">
      <c r="A29" s="1045"/>
      <c r="B29" s="1346" t="s">
        <v>1034</v>
      </c>
      <c r="C29" s="1346"/>
      <c r="D29" s="1347"/>
      <c r="E29" s="1351"/>
      <c r="F29" s="1052" t="s">
        <v>104</v>
      </c>
      <c r="G29" s="1053"/>
      <c r="H29" s="1053"/>
      <c r="I29" s="1053"/>
      <c r="J29" s="1053"/>
      <c r="K29" s="1053"/>
      <c r="L29" s="1062"/>
    </row>
    <row r="30" spans="1:12" ht="24">
      <c r="A30" s="1045"/>
      <c r="B30" s="1346" t="s">
        <v>1035</v>
      </c>
      <c r="C30" s="1346"/>
      <c r="D30" s="1347"/>
      <c r="E30" s="1351"/>
      <c r="F30" s="1052" t="s">
        <v>104</v>
      </c>
      <c r="G30" s="1053"/>
      <c r="H30" s="1053"/>
      <c r="I30" s="1053"/>
      <c r="J30" s="1053"/>
      <c r="K30" s="1053"/>
      <c r="L30" s="1062"/>
    </row>
    <row r="31" spans="1:12" ht="24">
      <c r="A31" s="1045"/>
      <c r="B31" s="1346" t="s">
        <v>1036</v>
      </c>
      <c r="C31" s="1346"/>
      <c r="D31" s="1347"/>
      <c r="E31" s="1351"/>
      <c r="F31" s="1052" t="s">
        <v>104</v>
      </c>
      <c r="G31" s="1053"/>
      <c r="H31" s="1053"/>
      <c r="I31" s="1053"/>
      <c r="J31" s="1053"/>
      <c r="K31" s="1053"/>
      <c r="L31" s="1062"/>
    </row>
    <row r="32" spans="1:12" ht="24">
      <c r="A32" s="1045"/>
      <c r="B32" s="1346" t="s">
        <v>1037</v>
      </c>
      <c r="C32" s="1346"/>
      <c r="D32" s="1347"/>
      <c r="E32" s="1351"/>
      <c r="F32" s="1052" t="s">
        <v>104</v>
      </c>
      <c r="G32" s="1053"/>
      <c r="H32" s="1053"/>
      <c r="I32" s="1053"/>
      <c r="J32" s="1053"/>
      <c r="K32" s="1053"/>
      <c r="L32" s="1062"/>
    </row>
    <row r="33" spans="1:14" ht="24">
      <c r="A33" s="1045"/>
      <c r="B33" s="1346" t="s">
        <v>1038</v>
      </c>
      <c r="C33" s="1346"/>
      <c r="D33" s="1347"/>
      <c r="E33" s="1351"/>
      <c r="F33" s="1052" t="s">
        <v>104</v>
      </c>
      <c r="G33" s="1053"/>
      <c r="H33" s="1053"/>
      <c r="I33" s="1053"/>
      <c r="J33" s="1053"/>
      <c r="K33" s="1053"/>
      <c r="L33" s="1062"/>
    </row>
    <row r="34" spans="1:14" ht="24">
      <c r="A34" s="1045"/>
      <c r="B34" s="1346" t="s">
        <v>1039</v>
      </c>
      <c r="C34" s="1346"/>
      <c r="D34" s="1347"/>
      <c r="E34" s="1351"/>
      <c r="F34" s="1052" t="s">
        <v>104</v>
      </c>
      <c r="G34" s="1053"/>
      <c r="H34" s="1053"/>
      <c r="I34" s="1053"/>
      <c r="J34" s="1053"/>
      <c r="K34" s="1053"/>
      <c r="L34" s="1062"/>
    </row>
    <row r="35" spans="1:14" ht="24">
      <c r="A35" s="1045"/>
      <c r="B35" s="1346" t="s">
        <v>1040</v>
      </c>
      <c r="C35" s="1346"/>
      <c r="D35" s="1347"/>
      <c r="E35" s="1351"/>
      <c r="F35" s="1052" t="s">
        <v>240</v>
      </c>
      <c r="G35" s="1053"/>
      <c r="H35" s="1053"/>
      <c r="I35" s="1053"/>
      <c r="J35" s="1053"/>
      <c r="K35" s="1053"/>
      <c r="L35" s="1062"/>
    </row>
    <row r="36" spans="1:14" ht="24">
      <c r="A36" s="1045"/>
      <c r="B36" s="1346" t="s">
        <v>1041</v>
      </c>
      <c r="C36" s="1346"/>
      <c r="D36" s="1347"/>
      <c r="E36" s="1351"/>
      <c r="F36" s="1052" t="s">
        <v>240</v>
      </c>
      <c r="G36" s="1053"/>
      <c r="H36" s="1053"/>
      <c r="I36" s="1053"/>
      <c r="J36" s="1053"/>
      <c r="K36" s="1053"/>
      <c r="L36" s="1062"/>
    </row>
    <row r="37" spans="1:14" ht="24">
      <c r="A37" s="1045"/>
      <c r="B37" s="1346" t="s">
        <v>1042</v>
      </c>
      <c r="C37" s="1346"/>
      <c r="D37" s="1347"/>
      <c r="E37" s="1351"/>
      <c r="F37" s="1052" t="s">
        <v>1030</v>
      </c>
      <c r="G37" s="1053"/>
      <c r="H37" s="1053"/>
      <c r="I37" s="1053"/>
      <c r="J37" s="1053"/>
      <c r="K37" s="1053"/>
      <c r="L37" s="1062"/>
    </row>
    <row r="38" spans="1:14" ht="26.25">
      <c r="A38" s="1372">
        <v>4</v>
      </c>
      <c r="B38" s="1766" t="s">
        <v>1043</v>
      </c>
      <c r="C38" s="1767"/>
      <c r="D38" s="1768"/>
      <c r="E38" s="1350"/>
      <c r="F38" s="1376"/>
      <c r="G38" s="1348"/>
      <c r="H38" s="1348"/>
      <c r="I38" s="1348"/>
      <c r="J38" s="1348"/>
      <c r="K38" s="1348"/>
      <c r="L38" s="1349"/>
    </row>
    <row r="39" spans="1:14" ht="24">
      <c r="A39" s="1045"/>
      <c r="B39" s="1760" t="s">
        <v>1044</v>
      </c>
      <c r="C39" s="1761"/>
      <c r="D39" s="1762"/>
      <c r="E39" s="1378"/>
      <c r="F39" s="1379" t="s">
        <v>240</v>
      </c>
      <c r="G39" s="1355"/>
      <c r="H39" s="1355"/>
      <c r="I39" s="1355"/>
      <c r="J39" s="1355"/>
      <c r="K39" s="1355"/>
      <c r="L39" s="1380"/>
      <c r="N39" s="1043"/>
    </row>
    <row r="40" spans="1:14" ht="24">
      <c r="A40" s="1045"/>
      <c r="B40" s="1352" t="s">
        <v>1045</v>
      </c>
      <c r="C40" s="1352"/>
      <c r="D40" s="1353"/>
      <c r="E40" s="1354"/>
      <c r="F40" s="1379" t="s">
        <v>240</v>
      </c>
      <c r="G40" s="1355"/>
      <c r="H40" s="1355"/>
      <c r="I40" s="1355"/>
      <c r="J40" s="1355"/>
      <c r="K40" s="1355"/>
      <c r="L40" s="1380"/>
      <c r="N40" s="1043"/>
    </row>
    <row r="41" spans="1:14" ht="24">
      <c r="A41" s="1356"/>
      <c r="B41" s="1357"/>
      <c r="C41" s="1357"/>
      <c r="D41" s="1358"/>
      <c r="E41" s="1359"/>
      <c r="F41" s="1360"/>
      <c r="G41" s="1361"/>
      <c r="H41" s="1361"/>
      <c r="I41" s="1361"/>
      <c r="J41" s="1361"/>
      <c r="K41" s="1361"/>
      <c r="L41" s="1362"/>
      <c r="N41" s="1043"/>
    </row>
    <row r="42" spans="1:14" s="1075" customFormat="1" ht="27" thickBot="1">
      <c r="A42" s="1363"/>
      <c r="B42" s="1364" t="s">
        <v>1046</v>
      </c>
      <c r="C42" s="1365"/>
      <c r="D42" s="1366"/>
      <c r="E42" s="1367"/>
      <c r="F42" s="1368"/>
      <c r="G42" s="1369"/>
      <c r="H42" s="1369">
        <f>SUM(H10:H39)</f>
        <v>0</v>
      </c>
      <c r="I42" s="1369"/>
      <c r="J42" s="1369">
        <f>SUM(J10:J39)</f>
        <v>0</v>
      </c>
      <c r="K42" s="1369"/>
      <c r="L42" s="1370">
        <f>SUM(L10:L39)</f>
        <v>0</v>
      </c>
    </row>
    <row r="43" spans="1:14" ht="26.25">
      <c r="A43" s="1371"/>
      <c r="K43" s="1044"/>
      <c r="L43" s="1044"/>
    </row>
    <row r="44" spans="1:14" ht="24">
      <c r="A44" s="1077"/>
    </row>
  </sheetData>
  <mergeCells count="28">
    <mergeCell ref="B15:D15"/>
    <mergeCell ref="A1:L1"/>
    <mergeCell ref="A2:L2"/>
    <mergeCell ref="T3:T4"/>
    <mergeCell ref="D4:G4"/>
    <mergeCell ref="N5:T5"/>
    <mergeCell ref="A6:A8"/>
    <mergeCell ref="B6:D8"/>
    <mergeCell ref="E6:E8"/>
    <mergeCell ref="F6:F8"/>
    <mergeCell ref="I6:J6"/>
    <mergeCell ref="L6:L7"/>
    <mergeCell ref="B10:D10"/>
    <mergeCell ref="B11:D11"/>
    <mergeCell ref="B12:D12"/>
    <mergeCell ref="B14:D14"/>
    <mergeCell ref="B39:D39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38:D38"/>
  </mergeCells>
  <printOptions horizontalCentered="1"/>
  <pageMargins left="0.7" right="0.7" top="0.75" bottom="0.75" header="0.3" footer="0.3"/>
  <pageSetup paperSize="9" scale="71" orientation="landscape" r:id="rId1"/>
  <colBreaks count="1" manualBreakCount="1">
    <brk id="1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27B0-454B-4DB0-8E2B-CDD72CABA332}">
  <sheetPr>
    <tabColor rgb="FF92D050"/>
    <pageSetUpPr fitToPage="1"/>
  </sheetPr>
  <dimension ref="A1:V53"/>
  <sheetViews>
    <sheetView view="pageBreakPreview" topLeftCell="A2" zoomScale="85" zoomScaleNormal="70" zoomScaleSheetLayoutView="85" workbookViewId="0">
      <selection activeCell="G10" sqref="G10"/>
    </sheetView>
  </sheetViews>
  <sheetFormatPr defaultColWidth="9.140625" defaultRowHeight="18.75" outlineLevelCol="1"/>
  <cols>
    <col min="1" max="1" width="10.85546875" style="549" customWidth="1"/>
    <col min="2" max="2" width="7.140625" style="549" customWidth="1"/>
    <col min="3" max="3" width="8" style="551" customWidth="1"/>
    <col min="4" max="4" width="57.140625" style="954" customWidth="1"/>
    <col min="5" max="5" width="8.85546875" style="549" customWidth="1"/>
    <col min="6" max="6" width="14.5703125" style="984" bestFit="1" customWidth="1"/>
    <col min="7" max="7" width="15.28515625" style="984" customWidth="1" outlineLevel="1"/>
    <col min="8" max="8" width="20" style="549" customWidth="1" outlineLevel="1"/>
    <col min="9" max="9" width="15.28515625" style="984" customWidth="1" outlineLevel="1"/>
    <col min="10" max="11" width="15.42578125" style="549" customWidth="1" outlineLevel="1"/>
    <col min="12" max="12" width="20.5703125" style="985" customWidth="1"/>
    <col min="13" max="13" width="19" style="985" customWidth="1"/>
    <col min="14" max="14" width="19.28515625" style="936" customWidth="1"/>
    <col min="15" max="15" width="12.140625" style="549" customWidth="1"/>
    <col min="16" max="16" width="9.140625" style="549"/>
    <col min="17" max="18" width="11.28515625" style="549" customWidth="1"/>
    <col min="19" max="19" width="14.28515625" style="549" customWidth="1"/>
    <col min="20" max="16384" width="9.140625" style="549"/>
  </cols>
  <sheetData>
    <row r="1" spans="1:22" ht="34.5" hidden="1" customHeight="1">
      <c r="A1" s="1742" t="s">
        <v>0</v>
      </c>
      <c r="B1" s="1743"/>
      <c r="C1" s="1743"/>
      <c r="D1" s="1743"/>
      <c r="E1" s="1743"/>
      <c r="F1" s="1743"/>
      <c r="G1" s="1743"/>
      <c r="H1" s="1743"/>
      <c r="I1" s="1743"/>
      <c r="J1" s="1743"/>
      <c r="K1" s="1743"/>
      <c r="L1" s="1744"/>
      <c r="M1" s="1086"/>
    </row>
    <row r="2" spans="1:22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1664"/>
      <c r="M2" s="1087"/>
      <c r="N2" s="937"/>
      <c r="O2" s="151"/>
      <c r="P2" s="151"/>
    </row>
    <row r="3" spans="1:22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7"/>
      <c r="M3" s="574"/>
      <c r="N3" s="937"/>
      <c r="O3" s="151"/>
      <c r="P3" s="151"/>
    </row>
    <row r="4" spans="1:22" s="10" customFormat="1" ht="24.95" customHeight="1">
      <c r="A4" s="153" t="s">
        <v>1</v>
      </c>
      <c r="B4" s="89"/>
      <c r="C4" s="90"/>
      <c r="D4" s="89" t="s">
        <v>559</v>
      </c>
      <c r="E4" s="91"/>
      <c r="F4" s="92"/>
      <c r="G4" s="92"/>
      <c r="H4" s="91"/>
      <c r="I4" s="154" t="s">
        <v>108</v>
      </c>
      <c r="J4" s="98"/>
      <c r="K4" s="675"/>
      <c r="L4" s="1113"/>
      <c r="M4" s="99"/>
      <c r="N4" s="937"/>
      <c r="O4" s="151"/>
      <c r="P4" s="151"/>
      <c r="V4" s="1716"/>
    </row>
    <row r="5" spans="1:22" s="10" customFormat="1" ht="24.95" customHeight="1">
      <c r="A5" s="155" t="s">
        <v>109</v>
      </c>
      <c r="B5" s="94"/>
      <c r="C5" s="95"/>
      <c r="D5" s="89" t="s">
        <v>1047</v>
      </c>
      <c r="E5" s="96"/>
      <c r="F5" s="97"/>
      <c r="G5" s="97"/>
      <c r="H5" s="96"/>
      <c r="I5" s="154" t="s">
        <v>111</v>
      </c>
      <c r="J5" s="98"/>
      <c r="K5" s="675"/>
      <c r="L5" s="1113"/>
      <c r="M5" s="99"/>
      <c r="N5" s="937"/>
      <c r="O5" s="151"/>
      <c r="P5" s="151"/>
      <c r="V5" s="1716"/>
    </row>
    <row r="6" spans="1:22" s="10" customFormat="1" ht="24.95" customHeight="1" thickBot="1">
      <c r="A6" s="156" t="s">
        <v>3</v>
      </c>
      <c r="B6" s="101"/>
      <c r="C6" s="102"/>
      <c r="D6" s="101" t="s">
        <v>883</v>
      </c>
      <c r="E6" s="103"/>
      <c r="F6" s="104"/>
      <c r="G6" s="104"/>
      <c r="H6" s="103"/>
      <c r="I6" s="157" t="s">
        <v>113</v>
      </c>
      <c r="J6" s="158"/>
      <c r="K6" s="676"/>
      <c r="L6" s="1114"/>
      <c r="M6" s="159"/>
      <c r="N6" s="937"/>
      <c r="O6" s="1717"/>
      <c r="P6" s="1717"/>
      <c r="Q6" s="1717"/>
      <c r="R6" s="1717"/>
      <c r="S6" s="1717"/>
      <c r="T6" s="1717"/>
      <c r="U6" s="1717"/>
      <c r="V6" s="1717"/>
    </row>
    <row r="7" spans="1:22" s="942" customFormat="1" ht="24.95" customHeight="1">
      <c r="A7" s="1718" t="s">
        <v>6</v>
      </c>
      <c r="B7" s="1721" t="s">
        <v>7</v>
      </c>
      <c r="C7" s="1722"/>
      <c r="D7" s="1723"/>
      <c r="E7" s="1730" t="s">
        <v>9</v>
      </c>
      <c r="F7" s="1733" t="s">
        <v>8</v>
      </c>
      <c r="G7" s="1736" t="s">
        <v>10</v>
      </c>
      <c r="H7" s="1736"/>
      <c r="I7" s="1736" t="s">
        <v>11</v>
      </c>
      <c r="J7" s="1736"/>
      <c r="K7" s="1115"/>
      <c r="L7" s="1747" t="s">
        <v>13</v>
      </c>
      <c r="M7" s="1739" t="s">
        <v>931</v>
      </c>
      <c r="N7" s="1741"/>
      <c r="O7" s="941"/>
    </row>
    <row r="8" spans="1:22" s="942" customFormat="1" ht="24.95" customHeight="1">
      <c r="A8" s="1719"/>
      <c r="B8" s="1724"/>
      <c r="C8" s="1725"/>
      <c r="D8" s="1726"/>
      <c r="E8" s="1731"/>
      <c r="F8" s="1734"/>
      <c r="G8" s="962" t="s">
        <v>9</v>
      </c>
      <c r="H8" s="963" t="s">
        <v>13</v>
      </c>
      <c r="I8" s="962" t="s">
        <v>9</v>
      </c>
      <c r="J8" s="963" t="s">
        <v>13</v>
      </c>
      <c r="K8" s="1116" t="s">
        <v>12</v>
      </c>
      <c r="L8" s="1748"/>
      <c r="M8" s="1740"/>
      <c r="N8" s="1741"/>
      <c r="O8" s="941"/>
    </row>
    <row r="9" spans="1:22" s="942" customFormat="1" ht="24.95" customHeight="1" thickBot="1">
      <c r="A9" s="1720"/>
      <c r="B9" s="1727"/>
      <c r="C9" s="1728"/>
      <c r="D9" s="1729"/>
      <c r="E9" s="1732"/>
      <c r="F9" s="1735"/>
      <c r="G9" s="965" t="s">
        <v>115</v>
      </c>
      <c r="H9" s="966" t="s">
        <v>14</v>
      </c>
      <c r="I9" s="965" t="s">
        <v>115</v>
      </c>
      <c r="J9" s="966" t="s">
        <v>14</v>
      </c>
      <c r="K9" s="966" t="s">
        <v>14</v>
      </c>
      <c r="L9" s="966" t="s">
        <v>14</v>
      </c>
      <c r="M9" s="967"/>
      <c r="N9" s="1741"/>
      <c r="O9" s="941"/>
    </row>
    <row r="10" spans="1:22" s="942" customFormat="1" ht="24.95" customHeight="1">
      <c r="A10" s="1088"/>
      <c r="B10" s="1445" t="s">
        <v>1048</v>
      </c>
      <c r="C10" s="1089"/>
      <c r="D10" s="1090"/>
      <c r="E10" s="1091"/>
      <c r="F10" s="1117"/>
      <c r="G10" s="1118"/>
      <c r="H10" s="1119"/>
      <c r="I10" s="1118"/>
      <c r="J10" s="1119"/>
      <c r="K10" s="1119"/>
      <c r="L10" s="1119"/>
      <c r="M10" s="1120"/>
      <c r="N10" s="1741"/>
      <c r="O10" s="941"/>
    </row>
    <row r="11" spans="1:22" s="1106" customFormat="1" ht="24.95" customHeight="1">
      <c r="A11" s="1514">
        <v>1</v>
      </c>
      <c r="B11" s="1111" t="s">
        <v>1049</v>
      </c>
      <c r="C11" s="1111"/>
      <c r="D11" s="1103"/>
      <c r="E11" s="977" t="s">
        <v>1050</v>
      </c>
      <c r="F11" s="1121"/>
      <c r="G11" s="1156"/>
      <c r="H11" s="1123"/>
      <c r="I11" s="1122"/>
      <c r="J11" s="1123"/>
      <c r="K11" s="1123"/>
      <c r="L11" s="1123"/>
      <c r="M11" s="1124"/>
      <c r="N11" s="1741"/>
      <c r="O11" s="1105"/>
    </row>
    <row r="12" spans="1:22" s="1106" customFormat="1" ht="24.95" customHeight="1">
      <c r="A12" s="1514"/>
      <c r="B12" s="1442" t="s">
        <v>282</v>
      </c>
      <c r="C12" s="1441" t="s">
        <v>1049</v>
      </c>
      <c r="D12" s="1431"/>
      <c r="E12" s="1104"/>
      <c r="F12" s="1121"/>
      <c r="G12" s="1122"/>
      <c r="H12" s="1123"/>
      <c r="I12" s="1122"/>
      <c r="J12" s="1123"/>
      <c r="K12" s="1123"/>
      <c r="L12" s="1123"/>
      <c r="M12" s="1124"/>
      <c r="N12" s="1741"/>
      <c r="O12" s="1105"/>
    </row>
    <row r="13" spans="1:22" s="1108" customFormat="1" ht="24.95" customHeight="1">
      <c r="A13" s="1500">
        <v>2</v>
      </c>
      <c r="B13" s="1110" t="s">
        <v>1051</v>
      </c>
      <c r="C13" s="1107"/>
      <c r="D13" s="976"/>
      <c r="E13" s="977" t="s">
        <v>1050</v>
      </c>
      <c r="F13" s="1125"/>
      <c r="G13" s="978"/>
      <c r="H13" s="978"/>
      <c r="I13" s="1126"/>
      <c r="J13" s="1127"/>
      <c r="K13" s="1446"/>
      <c r="L13" s="978"/>
      <c r="M13" s="1128"/>
      <c r="N13" s="1741"/>
      <c r="O13" s="1105"/>
      <c r="P13" s="1106"/>
      <c r="Q13" s="1106"/>
      <c r="R13" s="1106"/>
    </row>
    <row r="14" spans="1:22" s="1108" customFormat="1" ht="24.95" customHeight="1">
      <c r="A14" s="1500"/>
      <c r="B14" s="1443" t="s">
        <v>282</v>
      </c>
      <c r="C14" s="1793" t="s">
        <v>1052</v>
      </c>
      <c r="D14" s="1794"/>
      <c r="E14" s="977"/>
      <c r="F14" s="1125"/>
      <c r="G14" s="978"/>
      <c r="H14" s="978"/>
      <c r="I14" s="1126"/>
      <c r="J14" s="1127"/>
      <c r="K14" s="1127"/>
      <c r="L14" s="978"/>
      <c r="M14" s="1130"/>
      <c r="N14" s="1741"/>
      <c r="O14" s="1105"/>
      <c r="P14" s="1106"/>
      <c r="Q14" s="1106"/>
      <c r="R14" s="1106"/>
    </row>
    <row r="15" spans="1:22" s="1108" customFormat="1" ht="24.95" customHeight="1">
      <c r="A15" s="1500"/>
      <c r="B15" s="1442" t="s">
        <v>282</v>
      </c>
      <c r="C15" s="1444" t="s">
        <v>1053</v>
      </c>
      <c r="D15" s="1129"/>
      <c r="E15" s="977"/>
      <c r="F15" s="1125"/>
      <c r="G15" s="978"/>
      <c r="H15" s="978"/>
      <c r="I15" s="1126"/>
      <c r="J15" s="1127"/>
      <c r="K15" s="1127"/>
      <c r="L15" s="978"/>
      <c r="M15" s="1130"/>
      <c r="N15" s="940"/>
      <c r="O15" s="1105"/>
      <c r="P15" s="1106"/>
      <c r="Q15" s="1106"/>
      <c r="R15" s="1106"/>
    </row>
    <row r="16" spans="1:22" s="1108" customFormat="1" ht="24.95" customHeight="1">
      <c r="A16" s="1500"/>
      <c r="B16" s="1442" t="s">
        <v>282</v>
      </c>
      <c r="C16" s="1441" t="s">
        <v>1054</v>
      </c>
      <c r="D16" s="1129"/>
      <c r="E16" s="977"/>
      <c r="F16" s="1125"/>
      <c r="G16" s="978"/>
      <c r="H16" s="978"/>
      <c r="I16" s="1126"/>
      <c r="J16" s="1127"/>
      <c r="K16" s="1127"/>
      <c r="L16" s="978"/>
      <c r="M16" s="1130"/>
      <c r="N16" s="940"/>
      <c r="O16" s="1105"/>
      <c r="P16" s="1106"/>
      <c r="Q16" s="1106"/>
      <c r="R16" s="1106"/>
    </row>
    <row r="17" spans="1:18" s="1108" customFormat="1" ht="24.95" customHeight="1">
      <c r="A17" s="1500">
        <v>3</v>
      </c>
      <c r="B17" s="1110" t="s">
        <v>1055</v>
      </c>
      <c r="C17" s="1107"/>
      <c r="D17" s="1129"/>
      <c r="E17" s="977" t="s">
        <v>1050</v>
      </c>
      <c r="F17" s="1125"/>
      <c r="G17" s="978"/>
      <c r="H17" s="978"/>
      <c r="I17" s="1126"/>
      <c r="J17" s="1127"/>
      <c r="K17" s="1446"/>
      <c r="L17" s="978"/>
      <c r="M17" s="1130"/>
      <c r="N17" s="940"/>
      <c r="O17" s="1105"/>
      <c r="P17" s="1106"/>
      <c r="Q17" s="1106"/>
      <c r="R17" s="1106"/>
    </row>
    <row r="18" spans="1:18" s="1108" customFormat="1" ht="24.95" customHeight="1">
      <c r="A18" s="1500"/>
      <c r="B18" s="1442" t="s">
        <v>282</v>
      </c>
      <c r="C18" s="1441" t="s">
        <v>1056</v>
      </c>
      <c r="D18" s="1129"/>
      <c r="E18" s="977"/>
      <c r="F18" s="1125"/>
      <c r="G18" s="978"/>
      <c r="H18" s="978"/>
      <c r="I18" s="1126"/>
      <c r="J18" s="1127"/>
      <c r="K18" s="1127"/>
      <c r="L18" s="978"/>
      <c r="M18" s="1130"/>
      <c r="N18" s="940"/>
      <c r="O18" s="1105"/>
      <c r="P18" s="1106"/>
      <c r="Q18" s="1106"/>
      <c r="R18" s="1106"/>
    </row>
    <row r="19" spans="1:18" s="1108" customFormat="1" ht="24.95" customHeight="1">
      <c r="A19" s="1500"/>
      <c r="B19" s="1442" t="s">
        <v>282</v>
      </c>
      <c r="C19" s="1441" t="s">
        <v>1057</v>
      </c>
      <c r="D19" s="1129"/>
      <c r="E19" s="977"/>
      <c r="F19" s="1125"/>
      <c r="G19" s="978"/>
      <c r="H19" s="978"/>
      <c r="I19" s="1126"/>
      <c r="J19" s="1127"/>
      <c r="K19" s="1127"/>
      <c r="L19" s="978"/>
      <c r="M19" s="1130"/>
      <c r="N19" s="940"/>
      <c r="O19" s="1105"/>
      <c r="P19" s="1106"/>
      <c r="Q19" s="1106"/>
      <c r="R19" s="1106"/>
    </row>
    <row r="20" spans="1:18" s="1108" customFormat="1" ht="24.95" customHeight="1">
      <c r="A20" s="1500"/>
      <c r="B20" s="1442" t="s">
        <v>282</v>
      </c>
      <c r="C20" s="1441" t="s">
        <v>1058</v>
      </c>
      <c r="D20" s="1129"/>
      <c r="E20" s="977"/>
      <c r="F20" s="1125"/>
      <c r="G20" s="978"/>
      <c r="H20" s="978"/>
      <c r="I20" s="1126"/>
      <c r="J20" s="1127"/>
      <c r="K20" s="1127"/>
      <c r="L20" s="978"/>
      <c r="M20" s="1130"/>
      <c r="N20" s="940"/>
      <c r="O20" s="1105"/>
      <c r="P20" s="1106"/>
      <c r="Q20" s="1106"/>
      <c r="R20" s="1106"/>
    </row>
    <row r="21" spans="1:18" s="1108" customFormat="1" ht="24.95" customHeight="1">
      <c r="A21" s="1500"/>
      <c r="B21" s="1442" t="s">
        <v>282</v>
      </c>
      <c r="C21" s="1441" t="s">
        <v>1059</v>
      </c>
      <c r="D21" s="1129"/>
      <c r="E21" s="977"/>
      <c r="F21" s="1125"/>
      <c r="G21" s="978"/>
      <c r="H21" s="978"/>
      <c r="I21" s="1126"/>
      <c r="J21" s="1127"/>
      <c r="K21" s="1127"/>
      <c r="L21" s="978"/>
      <c r="M21" s="1130"/>
      <c r="N21" s="940"/>
      <c r="O21" s="1105"/>
      <c r="P21" s="1106"/>
      <c r="Q21" s="1106"/>
      <c r="R21" s="1106"/>
    </row>
    <row r="22" spans="1:18" s="1108" customFormat="1" ht="24.95" customHeight="1">
      <c r="A22" s="1500">
        <v>4</v>
      </c>
      <c r="B22" s="1110" t="s">
        <v>1060</v>
      </c>
      <c r="C22" s="1112"/>
      <c r="D22" s="1129"/>
      <c r="E22" s="977"/>
      <c r="F22" s="1125"/>
      <c r="G22" s="978"/>
      <c r="H22" s="978"/>
      <c r="I22" s="1126"/>
      <c r="J22" s="1127"/>
      <c r="K22" s="1127"/>
      <c r="L22" s="978"/>
      <c r="M22" s="1130"/>
      <c r="N22" s="940"/>
      <c r="O22" s="1105"/>
      <c r="P22" s="1106"/>
      <c r="Q22" s="1106"/>
      <c r="R22" s="1106"/>
    </row>
    <row r="23" spans="1:18" s="1108" customFormat="1" ht="24.95" customHeight="1">
      <c r="A23" s="1500"/>
      <c r="B23" s="1442" t="s">
        <v>282</v>
      </c>
      <c r="C23" s="1441" t="s">
        <v>1061</v>
      </c>
      <c r="D23" s="1129"/>
      <c r="E23" s="977" t="s">
        <v>1062</v>
      </c>
      <c r="F23" s="1125"/>
      <c r="G23" s="978"/>
      <c r="H23" s="978"/>
      <c r="I23" s="1126"/>
      <c r="J23" s="1127"/>
      <c r="K23" s="1446"/>
      <c r="L23" s="978"/>
      <c r="M23" s="1130"/>
      <c r="N23" s="940"/>
      <c r="O23" s="1105"/>
      <c r="P23" s="1106"/>
      <c r="Q23" s="1106"/>
      <c r="R23" s="1106"/>
    </row>
    <row r="24" spans="1:18" s="1458" customFormat="1" ht="46.5" customHeight="1">
      <c r="A24" s="1515"/>
      <c r="B24" s="1443" t="s">
        <v>282</v>
      </c>
      <c r="C24" s="1795" t="s">
        <v>1063</v>
      </c>
      <c r="D24" s="1796"/>
      <c r="E24" s="1449" t="s">
        <v>1050</v>
      </c>
      <c r="F24" s="1450"/>
      <c r="G24" s="1013"/>
      <c r="H24" s="1013"/>
      <c r="I24" s="1451"/>
      <c r="J24" s="1452"/>
      <c r="K24" s="1453"/>
      <c r="L24" s="1013"/>
      <c r="M24" s="1454"/>
      <c r="N24" s="1455"/>
      <c r="O24" s="1456"/>
      <c r="P24" s="1457"/>
      <c r="Q24" s="1457"/>
      <c r="R24" s="1457"/>
    </row>
    <row r="25" spans="1:18" s="1108" customFormat="1" ht="24.95" customHeight="1">
      <c r="A25" s="1500">
        <v>5</v>
      </c>
      <c r="B25" s="1499" t="s">
        <v>1064</v>
      </c>
      <c r="C25" s="1496"/>
      <c r="D25" s="1497"/>
      <c r="E25" s="977"/>
      <c r="F25" s="1125"/>
      <c r="G25" s="1498"/>
      <c r="H25" s="978"/>
      <c r="I25" s="1126"/>
      <c r="J25" s="1127"/>
      <c r="K25" s="1447"/>
      <c r="L25" s="978"/>
      <c r="M25" s="1130"/>
      <c r="N25" s="940"/>
      <c r="O25" s="1105"/>
      <c r="P25" s="1106"/>
      <c r="Q25" s="1106"/>
      <c r="R25" s="1106"/>
    </row>
    <row r="26" spans="1:18" s="1108" customFormat="1" ht="24.95" customHeight="1">
      <c r="A26" s="1500">
        <v>5.0999999999999996</v>
      </c>
      <c r="B26" s="1499" t="s">
        <v>1065</v>
      </c>
      <c r="C26" s="1501"/>
      <c r="D26" s="1497"/>
      <c r="E26" s="977"/>
      <c r="F26" s="1516"/>
      <c r="G26" s="1504"/>
      <c r="H26" s="1505"/>
      <c r="I26" s="1506"/>
      <c r="J26" s="1507"/>
      <c r="K26" s="1447"/>
      <c r="L26" s="978"/>
      <c r="M26" s="1130"/>
      <c r="N26" s="940"/>
      <c r="O26" s="1105"/>
      <c r="P26" s="1106"/>
      <c r="Q26" s="1106"/>
      <c r="R26" s="1106"/>
    </row>
    <row r="27" spans="1:18" s="1108" customFormat="1" ht="24.95" customHeight="1">
      <c r="A27" s="1503" t="s">
        <v>453</v>
      </c>
      <c r="B27" s="1499" t="s">
        <v>1066</v>
      </c>
      <c r="C27" s="1501"/>
      <c r="D27" s="1497"/>
      <c r="E27" s="1125" t="s">
        <v>284</v>
      </c>
      <c r="F27" s="1518"/>
      <c r="G27" s="1800"/>
      <c r="H27" s="1800"/>
      <c r="I27" s="1508"/>
      <c r="J27" s="1508"/>
      <c r="K27" s="1447"/>
      <c r="L27" s="978"/>
      <c r="M27" s="1130"/>
      <c r="N27" s="940"/>
      <c r="O27" s="1105"/>
      <c r="P27" s="1106"/>
      <c r="Q27" s="1106"/>
      <c r="R27" s="1106"/>
    </row>
    <row r="28" spans="1:18" s="1108" customFormat="1" ht="24.95" customHeight="1">
      <c r="A28" s="1500">
        <v>5.2</v>
      </c>
      <c r="B28" s="1499" t="s">
        <v>1067</v>
      </c>
      <c r="C28" s="1501"/>
      <c r="D28" s="1497"/>
      <c r="E28" s="1125"/>
      <c r="F28" s="1519"/>
      <c r="G28" s="1510"/>
      <c r="H28" s="1510"/>
      <c r="I28" s="1510"/>
      <c r="J28" s="1508"/>
      <c r="K28" s="1447"/>
      <c r="L28" s="978"/>
      <c r="M28" s="1130"/>
      <c r="N28" s="940"/>
      <c r="O28" s="1105"/>
      <c r="P28" s="1106"/>
      <c r="Q28" s="1106"/>
      <c r="R28" s="1106"/>
    </row>
    <row r="29" spans="1:18" s="1108" customFormat="1" ht="24.95" customHeight="1">
      <c r="A29" s="1503" t="s">
        <v>1068</v>
      </c>
      <c r="B29" s="1499" t="s">
        <v>1069</v>
      </c>
      <c r="C29" s="1501"/>
      <c r="D29" s="1497"/>
      <c r="E29" s="1125" t="s">
        <v>104</v>
      </c>
      <c r="F29" s="1518"/>
      <c r="G29" s="1508"/>
      <c r="H29" s="1508"/>
      <c r="I29" s="1508"/>
      <c r="J29" s="1508"/>
      <c r="K29" s="1447"/>
      <c r="L29" s="978"/>
      <c r="M29" s="1130"/>
      <c r="N29" s="940"/>
      <c r="O29" s="1105"/>
      <c r="P29" s="1106"/>
      <c r="Q29" s="1106"/>
      <c r="R29" s="1106"/>
    </row>
    <row r="30" spans="1:18" s="1108" customFormat="1" ht="24.95" customHeight="1">
      <c r="A30" s="1503" t="s">
        <v>1070</v>
      </c>
      <c r="B30" s="1499" t="s">
        <v>1071</v>
      </c>
      <c r="C30" s="1501"/>
      <c r="D30" s="1497"/>
      <c r="E30" s="1125" t="s">
        <v>104</v>
      </c>
      <c r="F30" s="1518"/>
      <c r="G30" s="1508"/>
      <c r="H30" s="1508"/>
      <c r="I30" s="1508"/>
      <c r="J30" s="1508"/>
      <c r="K30" s="1447"/>
      <c r="L30" s="978"/>
      <c r="M30" s="1130"/>
      <c r="N30" s="940"/>
      <c r="O30" s="1105"/>
      <c r="P30" s="1106"/>
      <c r="Q30" s="1106"/>
      <c r="R30" s="1106"/>
    </row>
    <row r="31" spans="1:18" s="1108" customFormat="1" ht="24.95" customHeight="1">
      <c r="A31" s="1503" t="s">
        <v>1072</v>
      </c>
      <c r="B31" s="1499" t="s">
        <v>1073</v>
      </c>
      <c r="C31" s="1501"/>
      <c r="D31" s="1497"/>
      <c r="E31" s="1125" t="s">
        <v>104</v>
      </c>
      <c r="F31" s="1519"/>
      <c r="G31" s="1508"/>
      <c r="H31" s="1508"/>
      <c r="I31" s="1508"/>
      <c r="J31" s="1508"/>
      <c r="K31" s="1447"/>
      <c r="L31" s="978"/>
      <c r="M31" s="1130"/>
      <c r="N31" s="940"/>
      <c r="O31" s="1105"/>
      <c r="P31" s="1106"/>
      <c r="Q31" s="1106"/>
      <c r="R31" s="1106"/>
    </row>
    <row r="32" spans="1:18" s="1108" customFormat="1" ht="24.95" customHeight="1">
      <c r="A32" s="1500">
        <v>5.3</v>
      </c>
      <c r="B32" s="1499" t="s">
        <v>1074</v>
      </c>
      <c r="C32" s="1501"/>
      <c r="D32" s="1497"/>
      <c r="E32" s="1125"/>
      <c r="F32" s="1519"/>
      <c r="G32" s="1510"/>
      <c r="H32" s="1510"/>
      <c r="I32" s="1510"/>
      <c r="J32" s="1508"/>
      <c r="K32" s="1447"/>
      <c r="L32" s="978"/>
      <c r="M32" s="1130"/>
      <c r="N32" s="940"/>
      <c r="O32" s="1105"/>
      <c r="P32" s="1106"/>
      <c r="Q32" s="1106"/>
      <c r="R32" s="1106"/>
    </row>
    <row r="33" spans="1:22" s="1108" customFormat="1" ht="24.95" customHeight="1">
      <c r="A33" s="1503" t="s">
        <v>1075</v>
      </c>
      <c r="B33" s="1499" t="s">
        <v>1076</v>
      </c>
      <c r="C33" s="1501"/>
      <c r="D33" s="1502"/>
      <c r="E33" s="1125" t="s">
        <v>936</v>
      </c>
      <c r="F33" s="1518"/>
      <c r="G33" s="1508"/>
      <c r="H33" s="1508"/>
      <c r="I33" s="1508"/>
      <c r="J33" s="1508"/>
      <c r="K33" s="1447"/>
      <c r="L33" s="978"/>
      <c r="M33" s="1130"/>
      <c r="N33" s="940"/>
      <c r="O33" s="1105"/>
      <c r="P33" s="1106"/>
      <c r="Q33" s="1106"/>
      <c r="R33" s="1106"/>
    </row>
    <row r="34" spans="1:22" s="1108" customFormat="1" ht="24.95" customHeight="1">
      <c r="A34" s="1503" t="s">
        <v>1077</v>
      </c>
      <c r="B34" s="1499" t="s">
        <v>1078</v>
      </c>
      <c r="C34" s="1501"/>
      <c r="D34" s="1502"/>
      <c r="E34" s="1125" t="s">
        <v>936</v>
      </c>
      <c r="F34" s="1518"/>
      <c r="G34" s="1508"/>
      <c r="H34" s="1508"/>
      <c r="I34" s="1508"/>
      <c r="J34" s="1508"/>
      <c r="K34" s="1447"/>
      <c r="L34" s="978"/>
      <c r="M34" s="1130"/>
      <c r="N34" s="940"/>
      <c r="O34" s="1105"/>
      <c r="P34" s="1106"/>
      <c r="Q34" s="1106"/>
      <c r="R34" s="1106"/>
    </row>
    <row r="35" spans="1:22" s="1108" customFormat="1" ht="24.95" customHeight="1">
      <c r="A35" s="1503" t="s">
        <v>1079</v>
      </c>
      <c r="B35" s="1499" t="s">
        <v>1080</v>
      </c>
      <c r="C35" s="1501"/>
      <c r="D35" s="1502"/>
      <c r="E35" s="1125" t="s">
        <v>104</v>
      </c>
      <c r="F35" s="1518"/>
      <c r="G35" s="1508"/>
      <c r="H35" s="1508"/>
      <c r="I35" s="1508"/>
      <c r="J35" s="1508"/>
      <c r="K35" s="1447"/>
      <c r="L35" s="978"/>
      <c r="M35" s="1130"/>
      <c r="N35" s="940"/>
      <c r="O35" s="1105"/>
      <c r="P35" s="1106"/>
      <c r="Q35" s="1106"/>
      <c r="R35" s="1106"/>
    </row>
    <row r="36" spans="1:22" s="1108" customFormat="1" ht="24.95" customHeight="1">
      <c r="A36" s="1503" t="s">
        <v>1081</v>
      </c>
      <c r="B36" s="1499" t="s">
        <v>1082</v>
      </c>
      <c r="C36" s="1501"/>
      <c r="D36" s="1502"/>
      <c r="E36" s="1125" t="s">
        <v>936</v>
      </c>
      <c r="F36" s="1518"/>
      <c r="G36" s="1508"/>
      <c r="H36" s="1508"/>
      <c r="I36" s="1508"/>
      <c r="J36" s="1508"/>
      <c r="K36" s="1447"/>
      <c r="L36" s="978"/>
      <c r="M36" s="1130"/>
      <c r="N36" s="940"/>
      <c r="O36" s="1105"/>
      <c r="P36" s="1106"/>
      <c r="Q36" s="1106"/>
      <c r="R36" s="1106"/>
    </row>
    <row r="37" spans="1:22" s="1108" customFormat="1" ht="24.95" customHeight="1">
      <c r="A37" s="1503" t="s">
        <v>1083</v>
      </c>
      <c r="B37" s="1499" t="s">
        <v>1084</v>
      </c>
      <c r="C37" s="1501"/>
      <c r="D37" s="1502"/>
      <c r="E37" s="1125" t="s">
        <v>936</v>
      </c>
      <c r="F37" s="1518"/>
      <c r="G37" s="1508"/>
      <c r="H37" s="1508"/>
      <c r="I37" s="1508"/>
      <c r="J37" s="1508"/>
      <c r="K37" s="1447"/>
      <c r="L37" s="978"/>
      <c r="M37" s="1130"/>
      <c r="N37" s="940"/>
      <c r="O37" s="1105"/>
      <c r="P37" s="1106"/>
      <c r="Q37" s="1106"/>
      <c r="R37" s="1106"/>
    </row>
    <row r="38" spans="1:22" s="1108" customFormat="1" ht="24.95" customHeight="1">
      <c r="A38" s="1503" t="s">
        <v>1085</v>
      </c>
      <c r="B38" s="1499" t="s">
        <v>1086</v>
      </c>
      <c r="C38" s="1501"/>
      <c r="D38" s="1502"/>
      <c r="E38" s="1125" t="s">
        <v>936</v>
      </c>
      <c r="F38" s="1518"/>
      <c r="G38" s="1508"/>
      <c r="H38" s="1508"/>
      <c r="I38" s="1509"/>
      <c r="J38" s="1508"/>
      <c r="K38" s="1447"/>
      <c r="L38" s="978"/>
      <c r="M38" s="1130"/>
      <c r="N38" s="940"/>
      <c r="O38" s="1105"/>
      <c r="P38" s="1106"/>
      <c r="Q38" s="1106"/>
      <c r="R38" s="1106"/>
    </row>
    <row r="39" spans="1:22" s="1108" customFormat="1" ht="24.95" customHeight="1">
      <c r="A39" s="1503" t="s">
        <v>1087</v>
      </c>
      <c r="B39" s="1499" t="s">
        <v>1088</v>
      </c>
      <c r="C39" s="1501"/>
      <c r="D39" s="1502"/>
      <c r="E39" s="1125" t="s">
        <v>936</v>
      </c>
      <c r="F39" s="1518"/>
      <c r="G39" s="1508"/>
      <c r="H39" s="1508"/>
      <c r="I39" s="1509"/>
      <c r="J39" s="1508"/>
      <c r="K39" s="1447"/>
      <c r="L39" s="978"/>
      <c r="M39" s="1130"/>
      <c r="N39" s="940"/>
      <c r="O39" s="1105"/>
      <c r="P39" s="1106"/>
      <c r="Q39" s="1106"/>
      <c r="R39" s="1106"/>
    </row>
    <row r="40" spans="1:22" s="1108" customFormat="1" ht="24.95" customHeight="1">
      <c r="A40" s="1503" t="s">
        <v>1089</v>
      </c>
      <c r="B40" s="1499" t="s">
        <v>339</v>
      </c>
      <c r="C40" s="1501"/>
      <c r="D40" s="1502"/>
      <c r="E40" s="1125" t="s">
        <v>340</v>
      </c>
      <c r="F40" s="1518"/>
      <c r="G40" s="1508"/>
      <c r="H40" s="1508"/>
      <c r="I40" s="1509"/>
      <c r="J40" s="1508"/>
      <c r="K40" s="1447"/>
      <c r="L40" s="978"/>
      <c r="M40" s="1130"/>
      <c r="N40" s="940"/>
      <c r="O40" s="1105"/>
      <c r="P40" s="1106"/>
      <c r="Q40" s="1106"/>
      <c r="R40" s="1106"/>
    </row>
    <row r="41" spans="1:22" s="1108" customFormat="1" ht="24.95" customHeight="1">
      <c r="A41" s="1500">
        <v>5.4</v>
      </c>
      <c r="B41" s="1499" t="s">
        <v>341</v>
      </c>
      <c r="C41" s="1496"/>
      <c r="D41" s="1497"/>
      <c r="E41" s="1125"/>
      <c r="F41" s="1520"/>
      <c r="G41" s="1511"/>
      <c r="H41" s="1511"/>
      <c r="I41" s="1512"/>
      <c r="J41" s="1508"/>
      <c r="K41" s="1447"/>
      <c r="L41" s="978"/>
      <c r="M41" s="1130"/>
      <c r="N41" s="940"/>
      <c r="O41" s="1105"/>
      <c r="P41" s="1106"/>
      <c r="Q41" s="1106"/>
      <c r="R41" s="1106"/>
    </row>
    <row r="42" spans="1:22" s="1108" customFormat="1" ht="24.95" customHeight="1">
      <c r="A42" s="1503" t="s">
        <v>1090</v>
      </c>
      <c r="B42" s="1499" t="s">
        <v>1091</v>
      </c>
      <c r="C42" s="1501"/>
      <c r="D42" s="1502"/>
      <c r="E42" s="1125" t="s">
        <v>240</v>
      </c>
      <c r="F42" s="1518"/>
      <c r="G42" s="1509"/>
      <c r="H42" s="1509"/>
      <c r="I42" s="1509"/>
      <c r="J42" s="1508"/>
      <c r="K42" s="1447"/>
      <c r="L42" s="978"/>
      <c r="M42" s="1130"/>
      <c r="N42" s="940"/>
      <c r="O42" s="1105"/>
      <c r="P42" s="1106"/>
      <c r="Q42" s="1106"/>
      <c r="R42" s="1106"/>
    </row>
    <row r="43" spans="1:22" s="1108" customFormat="1" ht="24.95" customHeight="1">
      <c r="A43" s="1503" t="s">
        <v>1092</v>
      </c>
      <c r="B43" s="1499" t="s">
        <v>339</v>
      </c>
      <c r="C43" s="1501"/>
      <c r="D43" s="1502"/>
      <c r="E43" s="1125" t="s">
        <v>340</v>
      </c>
      <c r="F43" s="1518"/>
      <c r="G43" s="1508"/>
      <c r="H43" s="1508"/>
      <c r="I43" s="1509"/>
      <c r="J43" s="1508"/>
      <c r="K43" s="1447"/>
      <c r="L43" s="978"/>
      <c r="M43" s="1130"/>
      <c r="N43" s="940"/>
      <c r="O43" s="1105"/>
      <c r="P43" s="1106"/>
      <c r="Q43" s="1106"/>
      <c r="R43" s="1106"/>
    </row>
    <row r="44" spans="1:22" s="1108" customFormat="1" ht="24.95" customHeight="1">
      <c r="A44" s="1500">
        <v>5.5</v>
      </c>
      <c r="B44" s="1499" t="s">
        <v>1093</v>
      </c>
      <c r="C44" s="1496"/>
      <c r="D44" s="1497"/>
      <c r="E44" s="1125"/>
      <c r="F44" s="1519"/>
      <c r="G44" s="1510"/>
      <c r="H44" s="1510"/>
      <c r="I44" s="1513"/>
      <c r="J44" s="1508"/>
      <c r="K44" s="1447"/>
      <c r="L44" s="978"/>
      <c r="M44" s="1130"/>
      <c r="N44" s="940"/>
      <c r="O44" s="1105"/>
      <c r="P44" s="1106"/>
      <c r="Q44" s="1106"/>
      <c r="R44" s="1106"/>
    </row>
    <row r="45" spans="1:22" s="1108" customFormat="1" ht="24.95" customHeight="1">
      <c r="A45" s="1503" t="s">
        <v>1094</v>
      </c>
      <c r="B45" s="1499" t="s">
        <v>1095</v>
      </c>
      <c r="C45" s="1501"/>
      <c r="D45" s="1502"/>
      <c r="E45" s="1125" t="s">
        <v>1096</v>
      </c>
      <c r="F45" s="1518"/>
      <c r="G45" s="1508"/>
      <c r="H45" s="1508"/>
      <c r="I45" s="1509"/>
      <c r="J45" s="1508"/>
      <c r="K45" s="1447"/>
      <c r="L45" s="978"/>
      <c r="M45" s="1130"/>
      <c r="N45" s="940"/>
      <c r="O45" s="1105"/>
      <c r="P45" s="1106"/>
      <c r="Q45" s="1106"/>
      <c r="R45" s="1106"/>
    </row>
    <row r="46" spans="1:22" s="151" customFormat="1" ht="24.95" customHeight="1" thickBot="1">
      <c r="A46" s="1131"/>
      <c r="B46" s="1132"/>
      <c r="C46" s="1099"/>
      <c r="D46" s="1100"/>
      <c r="E46" s="1101"/>
      <c r="F46" s="1517"/>
      <c r="G46" s="1133"/>
      <c r="H46" s="1134"/>
      <c r="I46" s="1135"/>
      <c r="J46" s="1134"/>
      <c r="K46" s="1134"/>
      <c r="L46" s="1136"/>
      <c r="M46" s="1137"/>
      <c r="N46" s="940"/>
      <c r="O46" s="941"/>
      <c r="P46" s="942"/>
      <c r="Q46" s="942"/>
      <c r="R46" s="942"/>
      <c r="S46" s="1138"/>
      <c r="T46" s="1139"/>
      <c r="U46" s="1140"/>
      <c r="V46" s="1141"/>
    </row>
    <row r="47" spans="1:22" s="1097" customFormat="1" ht="27.75" customHeight="1" thickBot="1">
      <c r="A47" s="1142"/>
      <c r="B47" s="1143"/>
      <c r="C47" s="1098"/>
      <c r="D47" s="1102"/>
      <c r="E47" s="1797" t="s">
        <v>915</v>
      </c>
      <c r="F47" s="1798"/>
      <c r="G47" s="1799"/>
      <c r="H47" s="1144"/>
      <c r="I47" s="1145"/>
      <c r="J47" s="1146"/>
      <c r="K47" s="1146"/>
      <c r="L47" s="1147">
        <f>SUM(L13:L46)</f>
        <v>0</v>
      </c>
      <c r="M47" s="1148"/>
      <c r="N47" s="1094"/>
      <c r="O47" s="1095"/>
      <c r="P47" s="1096"/>
      <c r="Q47" s="1096"/>
      <c r="R47" s="1096"/>
      <c r="S47" s="1149"/>
      <c r="T47" s="1150"/>
      <c r="U47" s="1151"/>
      <c r="V47" s="1152"/>
    </row>
    <row r="48" spans="1:22" s="946" customFormat="1" ht="32.25" customHeight="1">
      <c r="A48" s="951"/>
      <c r="B48" s="951"/>
      <c r="C48" s="951"/>
      <c r="D48" s="951"/>
      <c r="E48" s="951"/>
      <c r="F48" s="951"/>
      <c r="G48" s="951"/>
      <c r="H48" s="951"/>
      <c r="I48" s="951"/>
      <c r="J48" s="951"/>
      <c r="K48" s="951"/>
      <c r="L48" s="1153"/>
      <c r="M48" s="1153"/>
      <c r="N48" s="1741"/>
      <c r="O48" s="941"/>
      <c r="P48" s="942"/>
      <c r="Q48" s="942"/>
      <c r="R48" s="942"/>
    </row>
    <row r="49" spans="1:18" s="946" customFormat="1" ht="32.25" customHeight="1">
      <c r="A49" s="951"/>
      <c r="B49" s="951"/>
      <c r="C49" s="951"/>
      <c r="D49" s="951"/>
      <c r="E49" s="951"/>
      <c r="F49" s="951"/>
      <c r="G49" s="951"/>
      <c r="H49" s="951"/>
      <c r="I49" s="951"/>
      <c r="J49" s="951"/>
      <c r="K49" s="951"/>
      <c r="L49" s="1153"/>
      <c r="M49" s="1153"/>
      <c r="N49" s="1741"/>
      <c r="O49" s="941"/>
      <c r="P49" s="942"/>
      <c r="Q49" s="942"/>
      <c r="R49" s="942"/>
    </row>
    <row r="50" spans="1:18" s="946" customFormat="1" ht="21.75">
      <c r="C50" s="942"/>
      <c r="D50" s="1093"/>
      <c r="F50" s="1154"/>
      <c r="G50" s="1154"/>
      <c r="I50" s="1154"/>
      <c r="L50" s="1155"/>
      <c r="M50" s="1155"/>
      <c r="N50" s="1741"/>
      <c r="O50" s="941"/>
      <c r="P50" s="942"/>
      <c r="Q50" s="942"/>
      <c r="R50" s="942"/>
    </row>
    <row r="51" spans="1:18" s="946" customFormat="1" ht="21.75">
      <c r="C51" s="942"/>
      <c r="D51" s="1093"/>
      <c r="F51" s="1154"/>
      <c r="G51" s="1154"/>
      <c r="I51" s="1154"/>
      <c r="L51" s="1155"/>
      <c r="M51" s="1155"/>
      <c r="N51" s="1741"/>
      <c r="O51" s="941"/>
      <c r="P51" s="942"/>
      <c r="Q51" s="942"/>
      <c r="R51" s="942"/>
    </row>
    <row r="52" spans="1:18" s="946" customFormat="1" ht="21.75">
      <c r="C52" s="942"/>
      <c r="D52" s="1093"/>
      <c r="F52" s="1154"/>
      <c r="G52" s="1154"/>
      <c r="I52" s="1154"/>
      <c r="L52" s="1155"/>
      <c r="M52" s="1155"/>
      <c r="N52" s="1741"/>
      <c r="O52" s="941"/>
      <c r="P52" s="942"/>
      <c r="Q52" s="942"/>
      <c r="R52" s="942"/>
    </row>
    <row r="53" spans="1:18" ht="21.75">
      <c r="N53" s="1741"/>
      <c r="O53" s="941"/>
      <c r="P53" s="942"/>
      <c r="Q53" s="942"/>
      <c r="R53" s="942"/>
    </row>
  </sheetData>
  <mergeCells count="21">
    <mergeCell ref="V4:V5"/>
    <mergeCell ref="O6:V6"/>
    <mergeCell ref="N48:N50"/>
    <mergeCell ref="N51:N53"/>
    <mergeCell ref="E47:G47"/>
    <mergeCell ref="I7:J7"/>
    <mergeCell ref="L7:L8"/>
    <mergeCell ref="M7:M8"/>
    <mergeCell ref="N7:N9"/>
    <mergeCell ref="N10:N14"/>
    <mergeCell ref="E7:E9"/>
    <mergeCell ref="F7:F9"/>
    <mergeCell ref="G7:H7"/>
    <mergeCell ref="G27:H27"/>
    <mergeCell ref="C14:D14"/>
    <mergeCell ref="C24:D24"/>
    <mergeCell ref="A7:A9"/>
    <mergeCell ref="B7:D9"/>
    <mergeCell ref="A1:L1"/>
    <mergeCell ref="A2:L2"/>
    <mergeCell ref="A3:L3"/>
  </mergeCells>
  <phoneticPr fontId="105" type="noConversion"/>
  <printOptions horizontalCentered="1"/>
  <pageMargins left="0.6" right="0.2" top="0.5" bottom="0.5" header="0.3" footer="0.3"/>
  <pageSetup paperSize="9" scale="61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0978-775A-4E8F-8071-244206301A2F}">
  <sheetPr>
    <tabColor rgb="FF92D050"/>
  </sheetPr>
  <dimension ref="A1:T95"/>
  <sheetViews>
    <sheetView view="pageBreakPreview" topLeftCell="A2" zoomScale="60" zoomScaleNormal="85" workbookViewId="0">
      <selection activeCell="K84" sqref="K84"/>
    </sheetView>
  </sheetViews>
  <sheetFormatPr defaultColWidth="15.5703125" defaultRowHeight="17.25"/>
  <cols>
    <col min="1" max="1" width="13.140625" style="1042" customWidth="1"/>
    <col min="2" max="2" width="19.5703125" style="1042" bestFit="1" customWidth="1"/>
    <col min="3" max="3" width="15.5703125" style="1042"/>
    <col min="4" max="4" width="28" style="1042" customWidth="1"/>
    <col min="5" max="5" width="9.42578125" style="1042" bestFit="1" customWidth="1"/>
    <col min="6" max="6" width="6.42578125" style="1042" bestFit="1" customWidth="1"/>
    <col min="7" max="7" width="13.5703125" style="1042" bestFit="1" customWidth="1"/>
    <col min="8" max="8" width="15.42578125" style="1042" bestFit="1" customWidth="1"/>
    <col min="9" max="9" width="14.42578125" style="1042" customWidth="1"/>
    <col min="10" max="10" width="13.5703125" style="1042" bestFit="1" customWidth="1"/>
    <col min="11" max="11" width="14.85546875" style="1042" bestFit="1" customWidth="1"/>
    <col min="12" max="12" width="16.140625" style="1042" bestFit="1" customWidth="1"/>
    <col min="13" max="16384" width="15.5703125" style="1042"/>
  </cols>
  <sheetData>
    <row r="1" spans="1:20" s="10" customFormat="1" ht="38.25">
      <c r="A1" s="1663" t="s">
        <v>0</v>
      </c>
      <c r="B1" s="1664"/>
      <c r="C1" s="1664"/>
      <c r="D1" s="1664"/>
      <c r="E1" s="1664"/>
      <c r="F1" s="1664"/>
      <c r="G1" s="1664"/>
      <c r="H1" s="1664"/>
      <c r="I1" s="1664"/>
      <c r="J1" s="1664"/>
      <c r="K1" s="1664"/>
      <c r="L1" s="1665"/>
      <c r="M1" s="937"/>
      <c r="N1" s="151"/>
      <c r="O1" s="151"/>
    </row>
    <row r="2" spans="1:20" s="10" customFormat="1" ht="31.5">
      <c r="A2" s="1666" t="s">
        <v>106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8"/>
      <c r="M2" s="937"/>
      <c r="N2" s="151"/>
      <c r="O2" s="151"/>
    </row>
    <row r="3" spans="1:20" s="10" customFormat="1" ht="26.25" customHeight="1">
      <c r="A3" s="153" t="s">
        <v>1</v>
      </c>
      <c r="B3" s="89"/>
      <c r="C3" s="90"/>
      <c r="D3" s="89" t="s">
        <v>559</v>
      </c>
      <c r="E3" s="91"/>
      <c r="F3" s="92"/>
      <c r="G3" s="92"/>
      <c r="H3" s="91"/>
      <c r="I3" s="154" t="s">
        <v>108</v>
      </c>
      <c r="J3" s="98"/>
      <c r="K3" s="675"/>
      <c r="L3" s="99"/>
      <c r="M3" s="937"/>
      <c r="N3" s="151"/>
      <c r="O3" s="151"/>
      <c r="T3" s="1716"/>
    </row>
    <row r="4" spans="1:20" s="10" customFormat="1" ht="27" customHeight="1">
      <c r="A4" s="155" t="s">
        <v>109</v>
      </c>
      <c r="B4" s="94"/>
      <c r="C4" s="95"/>
      <c r="D4" s="94" t="s">
        <v>1097</v>
      </c>
      <c r="E4" s="96"/>
      <c r="F4" s="97"/>
      <c r="G4" s="97"/>
      <c r="H4" s="96"/>
      <c r="I4" s="154" t="s">
        <v>111</v>
      </c>
      <c r="J4" s="98"/>
      <c r="K4" s="675"/>
      <c r="L4" s="99"/>
      <c r="M4" s="937"/>
      <c r="N4" s="151"/>
      <c r="O4" s="151"/>
      <c r="T4" s="1716"/>
    </row>
    <row r="5" spans="1:20" s="10" customFormat="1" ht="27" thickBot="1">
      <c r="A5" s="156" t="s">
        <v>3</v>
      </c>
      <c r="B5" s="101"/>
      <c r="C5" s="102"/>
      <c r="D5" s="101" t="s">
        <v>561</v>
      </c>
      <c r="E5" s="103"/>
      <c r="F5" s="104"/>
      <c r="G5" s="104"/>
      <c r="H5" s="103"/>
      <c r="I5" s="157" t="s">
        <v>113</v>
      </c>
      <c r="J5" s="158"/>
      <c r="K5" s="676"/>
      <c r="L5" s="159"/>
      <c r="M5" s="937"/>
      <c r="N5" s="1717"/>
      <c r="O5" s="1717"/>
      <c r="P5" s="1717"/>
      <c r="Q5" s="1717"/>
      <c r="R5" s="1717"/>
      <c r="S5" s="1717"/>
      <c r="T5" s="1717"/>
    </row>
    <row r="6" spans="1:20" ht="26.25">
      <c r="A6" s="1771" t="s">
        <v>6</v>
      </c>
      <c r="B6" s="1774" t="s">
        <v>7</v>
      </c>
      <c r="C6" s="1775"/>
      <c r="D6" s="1776"/>
      <c r="E6" s="1783" t="s">
        <v>8</v>
      </c>
      <c r="F6" s="1786" t="s">
        <v>9</v>
      </c>
      <c r="G6" s="1034" t="s">
        <v>1011</v>
      </c>
      <c r="H6" s="1034"/>
      <c r="I6" s="1789" t="s">
        <v>1012</v>
      </c>
      <c r="J6" s="1790"/>
      <c r="K6" s="1040"/>
      <c r="L6" s="1791" t="s">
        <v>13</v>
      </c>
    </row>
    <row r="7" spans="1:20" ht="26.25">
      <c r="A7" s="1772"/>
      <c r="B7" s="1777"/>
      <c r="C7" s="1778"/>
      <c r="D7" s="1779"/>
      <c r="E7" s="1784"/>
      <c r="F7" s="1787"/>
      <c r="G7" s="1035" t="s">
        <v>9</v>
      </c>
      <c r="H7" s="1036" t="s">
        <v>13</v>
      </c>
      <c r="I7" s="1035" t="s">
        <v>9</v>
      </c>
      <c r="J7" s="1036" t="s">
        <v>13</v>
      </c>
      <c r="K7" s="1041" t="s">
        <v>12</v>
      </c>
      <c r="L7" s="1792"/>
    </row>
    <row r="8" spans="1:20" ht="27" thickBot="1">
      <c r="A8" s="1773"/>
      <c r="B8" s="1780"/>
      <c r="C8" s="1781"/>
      <c r="D8" s="1782"/>
      <c r="E8" s="1785"/>
      <c r="F8" s="1788"/>
      <c r="G8" s="1037" t="s">
        <v>115</v>
      </c>
      <c r="H8" s="1038" t="s">
        <v>14</v>
      </c>
      <c r="I8" s="1037" t="s">
        <v>115</v>
      </c>
      <c r="J8" s="1038" t="s">
        <v>14</v>
      </c>
      <c r="K8" s="1038" t="s">
        <v>14</v>
      </c>
      <c r="L8" s="1039" t="s">
        <v>14</v>
      </c>
    </row>
    <row r="9" spans="1:20" ht="26.25">
      <c r="A9" s="1064">
        <v>1</v>
      </c>
      <c r="B9" s="1065" t="s">
        <v>1064</v>
      </c>
      <c r="C9" s="1065"/>
      <c r="D9" s="1065"/>
      <c r="E9" s="1066"/>
      <c r="F9" s="1066"/>
      <c r="G9" s="1067"/>
      <c r="H9" s="1068"/>
      <c r="I9" s="1067"/>
      <c r="J9" s="1068"/>
      <c r="K9" s="1068"/>
      <c r="L9" s="1069"/>
    </row>
    <row r="10" spans="1:20" ht="24">
      <c r="A10" s="1045"/>
      <c r="B10" s="1051" t="s">
        <v>1098</v>
      </c>
      <c r="C10" s="1051"/>
      <c r="D10" s="1051"/>
      <c r="E10" s="1052"/>
      <c r="F10" s="1052"/>
      <c r="G10" s="1053"/>
      <c r="H10" s="1054"/>
      <c r="I10" s="1053"/>
      <c r="J10" s="1054"/>
      <c r="K10" s="1054"/>
      <c r="L10" s="1055"/>
    </row>
    <row r="11" spans="1:20" ht="24">
      <c r="A11" s="1045"/>
      <c r="B11" s="1051" t="s">
        <v>1099</v>
      </c>
      <c r="C11" s="1051"/>
      <c r="D11" s="1051"/>
      <c r="E11" s="1052"/>
      <c r="F11" s="1052" t="s">
        <v>936</v>
      </c>
      <c r="G11" s="1053"/>
      <c r="H11" s="1053"/>
      <c r="I11" s="1053"/>
      <c r="J11" s="1053"/>
      <c r="K11" s="1053"/>
      <c r="L11" s="1056"/>
    </row>
    <row r="12" spans="1:20" ht="24">
      <c r="A12" s="1045"/>
      <c r="B12" s="1051" t="s">
        <v>1100</v>
      </c>
      <c r="C12" s="1051"/>
      <c r="D12" s="1051"/>
      <c r="E12" s="1052"/>
      <c r="F12" s="1052" t="s">
        <v>936</v>
      </c>
      <c r="G12" s="1053"/>
      <c r="H12" s="1053"/>
      <c r="I12" s="1053"/>
      <c r="J12" s="1053"/>
      <c r="K12" s="1053"/>
      <c r="L12" s="1056"/>
    </row>
    <row r="13" spans="1:20" ht="24">
      <c r="A13" s="1045"/>
      <c r="B13" s="1051" t="s">
        <v>1101</v>
      </c>
      <c r="C13" s="1051"/>
      <c r="D13" s="1051"/>
      <c r="E13" s="1052"/>
      <c r="F13" s="1052" t="s">
        <v>936</v>
      </c>
      <c r="G13" s="1053"/>
      <c r="H13" s="1053"/>
      <c r="I13" s="1053"/>
      <c r="J13" s="1053"/>
      <c r="K13" s="1053"/>
      <c r="L13" s="1056"/>
    </row>
    <row r="14" spans="1:20" ht="24">
      <c r="A14" s="1045"/>
      <c r="B14" s="1051" t="s">
        <v>1102</v>
      </c>
      <c r="C14" s="1051"/>
      <c r="D14" s="1051"/>
      <c r="E14" s="1052"/>
      <c r="F14" s="1052" t="s">
        <v>1096</v>
      </c>
      <c r="G14" s="1053"/>
      <c r="H14" s="1053"/>
      <c r="I14" s="1053"/>
      <c r="J14" s="1053"/>
      <c r="K14" s="1053"/>
      <c r="L14" s="1056"/>
    </row>
    <row r="15" spans="1:20" ht="24">
      <c r="A15" s="1045"/>
      <c r="B15" s="1051" t="s">
        <v>1103</v>
      </c>
      <c r="C15" s="1051"/>
      <c r="D15" s="1051"/>
      <c r="E15" s="1052"/>
      <c r="F15" s="1052" t="s">
        <v>936</v>
      </c>
      <c r="G15" s="1053"/>
      <c r="H15" s="1053"/>
      <c r="I15" s="1053"/>
      <c r="J15" s="1053"/>
      <c r="K15" s="1053"/>
      <c r="L15" s="1056"/>
    </row>
    <row r="16" spans="1:20" ht="24">
      <c r="A16" s="1045"/>
      <c r="B16" s="1051" t="s">
        <v>1104</v>
      </c>
      <c r="C16" s="1051"/>
      <c r="D16" s="1051"/>
      <c r="E16" s="1052"/>
      <c r="F16" s="1052" t="s">
        <v>936</v>
      </c>
      <c r="G16" s="1053"/>
      <c r="H16" s="1053"/>
      <c r="I16" s="1053"/>
      <c r="J16" s="1053"/>
      <c r="K16" s="1053"/>
      <c r="L16" s="1056"/>
    </row>
    <row r="17" spans="1:12" ht="24">
      <c r="A17" s="1045"/>
      <c r="B17" s="1051" t="s">
        <v>1105</v>
      </c>
      <c r="C17" s="1051"/>
      <c r="D17" s="1051"/>
      <c r="E17" s="1052"/>
      <c r="F17" s="1052" t="s">
        <v>936</v>
      </c>
      <c r="G17" s="1053"/>
      <c r="H17" s="1053"/>
      <c r="I17" s="1053"/>
      <c r="J17" s="1053"/>
      <c r="K17" s="1053"/>
      <c r="L17" s="1056"/>
    </row>
    <row r="18" spans="1:12" ht="24">
      <c r="A18" s="1045"/>
      <c r="B18" s="1051" t="s">
        <v>1106</v>
      </c>
      <c r="C18" s="1051"/>
      <c r="D18" s="1051"/>
      <c r="E18" s="1052"/>
      <c r="F18" s="1052" t="s">
        <v>936</v>
      </c>
      <c r="G18" s="1053"/>
      <c r="H18" s="1053"/>
      <c r="I18" s="1053"/>
      <c r="J18" s="1053"/>
      <c r="K18" s="1053"/>
      <c r="L18" s="1056"/>
    </row>
    <row r="19" spans="1:12" ht="24">
      <c r="A19" s="1045"/>
      <c r="B19" s="1051" t="s">
        <v>1107</v>
      </c>
      <c r="C19" s="1051"/>
      <c r="D19" s="1051"/>
      <c r="E19" s="1052"/>
      <c r="F19" s="1052" t="s">
        <v>936</v>
      </c>
      <c r="G19" s="1053"/>
      <c r="H19" s="1053"/>
      <c r="I19" s="1053"/>
      <c r="J19" s="1053"/>
      <c r="K19" s="1053"/>
      <c r="L19" s="1056"/>
    </row>
    <row r="20" spans="1:12" ht="24">
      <c r="A20" s="1045"/>
      <c r="B20" s="1051" t="s">
        <v>1108</v>
      </c>
      <c r="C20" s="1051"/>
      <c r="D20" s="1051"/>
      <c r="E20" s="1052"/>
      <c r="F20" s="1052" t="s">
        <v>936</v>
      </c>
      <c r="G20" s="1053"/>
      <c r="H20" s="1053"/>
      <c r="I20" s="1053"/>
      <c r="J20" s="1053"/>
      <c r="K20" s="1053"/>
      <c r="L20" s="1056"/>
    </row>
    <row r="21" spans="1:12" ht="24">
      <c r="A21" s="1045"/>
      <c r="B21" s="1051" t="s">
        <v>1109</v>
      </c>
      <c r="C21" s="1051"/>
      <c r="D21" s="1051"/>
      <c r="E21" s="1052"/>
      <c r="F21" s="1052" t="s">
        <v>936</v>
      </c>
      <c r="G21" s="1053"/>
      <c r="H21" s="1053"/>
      <c r="I21" s="1053"/>
      <c r="J21" s="1053"/>
      <c r="K21" s="1053"/>
      <c r="L21" s="1056"/>
    </row>
    <row r="22" spans="1:12" ht="24">
      <c r="A22" s="1045"/>
      <c r="B22" s="1051" t="s">
        <v>1110</v>
      </c>
      <c r="C22" s="1051"/>
      <c r="D22" s="1051"/>
      <c r="E22" s="1052"/>
      <c r="F22" s="1052" t="s">
        <v>936</v>
      </c>
      <c r="G22" s="1053"/>
      <c r="H22" s="1053"/>
      <c r="I22" s="1053"/>
      <c r="J22" s="1053"/>
      <c r="K22" s="1053"/>
      <c r="L22" s="1056"/>
    </row>
    <row r="23" spans="1:12" ht="24">
      <c r="A23" s="1045"/>
      <c r="B23" s="1051" t="s">
        <v>1111</v>
      </c>
      <c r="C23" s="1051"/>
      <c r="D23" s="1051"/>
      <c r="E23" s="1052"/>
      <c r="F23" s="1052" t="s">
        <v>936</v>
      </c>
      <c r="G23" s="1053"/>
      <c r="H23" s="1053"/>
      <c r="I23" s="1053"/>
      <c r="J23" s="1053"/>
      <c r="K23" s="1053"/>
      <c r="L23" s="1056"/>
    </row>
    <row r="24" spans="1:12" ht="24">
      <c r="A24" s="1045"/>
      <c r="B24" s="1051" t="s">
        <v>1112</v>
      </c>
      <c r="C24" s="1051"/>
      <c r="D24" s="1051"/>
      <c r="E24" s="1052"/>
      <c r="F24" s="1052" t="s">
        <v>936</v>
      </c>
      <c r="G24" s="1053"/>
      <c r="H24" s="1053"/>
      <c r="I24" s="1053"/>
      <c r="J24" s="1053"/>
      <c r="K24" s="1053"/>
      <c r="L24" s="1056"/>
    </row>
    <row r="25" spans="1:12" ht="24">
      <c r="A25" s="1045"/>
      <c r="B25" s="1051" t="s">
        <v>1113</v>
      </c>
      <c r="C25" s="1051"/>
      <c r="D25" s="1051"/>
      <c r="E25" s="1052"/>
      <c r="F25" s="1052" t="s">
        <v>936</v>
      </c>
      <c r="G25" s="1053"/>
      <c r="H25" s="1053"/>
      <c r="I25" s="1053"/>
      <c r="J25" s="1053"/>
      <c r="K25" s="1053"/>
      <c r="L25" s="1056"/>
    </row>
    <row r="26" spans="1:12" ht="24">
      <c r="A26" s="1045"/>
      <c r="B26" s="1051" t="s">
        <v>1114</v>
      </c>
      <c r="C26" s="1051"/>
      <c r="D26" s="1051"/>
      <c r="E26" s="1052"/>
      <c r="F26" s="1052" t="s">
        <v>936</v>
      </c>
      <c r="G26" s="1053"/>
      <c r="H26" s="1053"/>
      <c r="I26" s="1053"/>
      <c r="J26" s="1053"/>
      <c r="K26" s="1053"/>
      <c r="L26" s="1056"/>
    </row>
    <row r="27" spans="1:12" ht="24">
      <c r="A27" s="1045"/>
      <c r="B27" s="1051" t="s">
        <v>1115</v>
      </c>
      <c r="C27" s="1051"/>
      <c r="D27" s="1051"/>
      <c r="E27" s="1052"/>
      <c r="F27" s="1052" t="s">
        <v>936</v>
      </c>
      <c r="G27" s="1053"/>
      <c r="H27" s="1053"/>
      <c r="I27" s="1053"/>
      <c r="J27" s="1053"/>
      <c r="K27" s="1053"/>
      <c r="L27" s="1056"/>
    </row>
    <row r="28" spans="1:12" ht="24">
      <c r="A28" s="1045"/>
      <c r="B28" s="1051" t="s">
        <v>1116</v>
      </c>
      <c r="C28" s="1051"/>
      <c r="D28" s="1051"/>
      <c r="E28" s="1052"/>
      <c r="F28" s="1052" t="s">
        <v>936</v>
      </c>
      <c r="G28" s="1053"/>
      <c r="H28" s="1053"/>
      <c r="I28" s="1053"/>
      <c r="J28" s="1053"/>
      <c r="K28" s="1053"/>
      <c r="L28" s="1056"/>
    </row>
    <row r="29" spans="1:12" ht="24">
      <c r="A29" s="1045"/>
      <c r="B29" s="1051" t="s">
        <v>1117</v>
      </c>
      <c r="C29" s="1051"/>
      <c r="D29" s="1051"/>
      <c r="E29" s="1052"/>
      <c r="F29" s="1052" t="s">
        <v>936</v>
      </c>
      <c r="G29" s="1053"/>
      <c r="H29" s="1053"/>
      <c r="I29" s="1053"/>
      <c r="J29" s="1053"/>
      <c r="K29" s="1053"/>
      <c r="L29" s="1056"/>
    </row>
    <row r="30" spans="1:12" ht="24">
      <c r="A30" s="1045"/>
      <c r="B30" s="1051" t="s">
        <v>1118</v>
      </c>
      <c r="C30" s="1051"/>
      <c r="D30" s="1051"/>
      <c r="E30" s="1052"/>
      <c r="F30" s="1052" t="s">
        <v>936</v>
      </c>
      <c r="G30" s="1053"/>
      <c r="H30" s="1053"/>
      <c r="I30" s="1053"/>
      <c r="J30" s="1053"/>
      <c r="K30" s="1053"/>
      <c r="L30" s="1056"/>
    </row>
    <row r="31" spans="1:12" ht="24">
      <c r="A31" s="1045"/>
      <c r="B31" s="1051" t="s">
        <v>1119</v>
      </c>
      <c r="C31" s="1051"/>
      <c r="D31" s="1051"/>
      <c r="E31" s="1052"/>
      <c r="F31" s="1052" t="s">
        <v>936</v>
      </c>
      <c r="G31" s="1053"/>
      <c r="H31" s="1053"/>
      <c r="I31" s="1053"/>
      <c r="J31" s="1053"/>
      <c r="K31" s="1053"/>
      <c r="L31" s="1056"/>
    </row>
    <row r="32" spans="1:12" ht="24">
      <c r="A32" s="1045"/>
      <c r="B32" s="1051" t="s">
        <v>1120</v>
      </c>
      <c r="C32" s="1051"/>
      <c r="D32" s="1051"/>
      <c r="E32" s="1052"/>
      <c r="F32" s="1052" t="s">
        <v>936</v>
      </c>
      <c r="G32" s="1053"/>
      <c r="H32" s="1053"/>
      <c r="I32" s="1053"/>
      <c r="J32" s="1053"/>
      <c r="K32" s="1053"/>
      <c r="L32" s="1056"/>
    </row>
    <row r="33" spans="1:12" ht="24">
      <c r="A33" s="1045"/>
      <c r="B33" s="1051" t="s">
        <v>1121</v>
      </c>
      <c r="C33" s="1051"/>
      <c r="D33" s="1051"/>
      <c r="E33" s="1052"/>
      <c r="F33" s="1052" t="s">
        <v>240</v>
      </c>
      <c r="G33" s="1053"/>
      <c r="H33" s="1053"/>
      <c r="I33" s="1053"/>
      <c r="J33" s="1053"/>
      <c r="K33" s="1053"/>
      <c r="L33" s="1056"/>
    </row>
    <row r="34" spans="1:12" ht="24">
      <c r="A34" s="1045"/>
      <c r="B34" s="1051" t="s">
        <v>1122</v>
      </c>
      <c r="C34" s="1051"/>
      <c r="D34" s="1051"/>
      <c r="E34" s="1052"/>
      <c r="F34" s="1052" t="s">
        <v>240</v>
      </c>
      <c r="G34" s="1053"/>
      <c r="H34" s="1053"/>
      <c r="I34" s="1053"/>
      <c r="J34" s="1053"/>
      <c r="K34" s="1053"/>
      <c r="L34" s="1056"/>
    </row>
    <row r="35" spans="1:12" ht="24">
      <c r="A35" s="1045"/>
      <c r="B35" s="1051" t="s">
        <v>1123</v>
      </c>
      <c r="C35" s="1051"/>
      <c r="D35" s="1051"/>
      <c r="E35" s="1052"/>
      <c r="F35" s="1052" t="s">
        <v>936</v>
      </c>
      <c r="G35" s="1053"/>
      <c r="H35" s="1053"/>
      <c r="I35" s="1053"/>
      <c r="J35" s="1053"/>
      <c r="K35" s="1053"/>
      <c r="L35" s="1056"/>
    </row>
    <row r="36" spans="1:12" ht="24">
      <c r="A36" s="1045"/>
      <c r="B36" s="1051" t="s">
        <v>1124</v>
      </c>
      <c r="C36" s="1051"/>
      <c r="D36" s="1051"/>
      <c r="E36" s="1052"/>
      <c r="F36" s="1052" t="s">
        <v>936</v>
      </c>
      <c r="G36" s="1053"/>
      <c r="H36" s="1053"/>
      <c r="I36" s="1053"/>
      <c r="J36" s="1053"/>
      <c r="K36" s="1053"/>
      <c r="L36" s="1056"/>
    </row>
    <row r="37" spans="1:12" ht="24">
      <c r="A37" s="1045"/>
      <c r="B37" s="1051" t="s">
        <v>1125</v>
      </c>
      <c r="C37" s="1051"/>
      <c r="D37" s="1051"/>
      <c r="E37" s="1052"/>
      <c r="F37" s="1052" t="s">
        <v>936</v>
      </c>
      <c r="G37" s="1053"/>
      <c r="H37" s="1053"/>
      <c r="I37" s="1053"/>
      <c r="J37" s="1053"/>
      <c r="K37" s="1053"/>
      <c r="L37" s="1056"/>
    </row>
    <row r="38" spans="1:12" ht="24">
      <c r="A38" s="1045"/>
      <c r="B38" s="1051" t="s">
        <v>1126</v>
      </c>
      <c r="C38" s="1051"/>
      <c r="D38" s="1051"/>
      <c r="E38" s="1052"/>
      <c r="F38" s="1052" t="s">
        <v>104</v>
      </c>
      <c r="G38" s="1053"/>
      <c r="H38" s="1053"/>
      <c r="I38" s="1053"/>
      <c r="J38" s="1053"/>
      <c r="K38" s="1053"/>
      <c r="L38" s="1056"/>
    </row>
    <row r="39" spans="1:12" ht="24">
      <c r="A39" s="1045"/>
      <c r="B39" s="1051" t="s">
        <v>1127</v>
      </c>
      <c r="C39" s="1051"/>
      <c r="D39" s="1051"/>
      <c r="E39" s="1052"/>
      <c r="F39" s="1052" t="s">
        <v>104</v>
      </c>
      <c r="G39" s="1053"/>
      <c r="H39" s="1053"/>
      <c r="I39" s="1053"/>
      <c r="J39" s="1053"/>
      <c r="K39" s="1053"/>
      <c r="L39" s="1056"/>
    </row>
    <row r="40" spans="1:12" ht="24">
      <c r="A40" s="1045"/>
      <c r="B40" s="1051" t="s">
        <v>1128</v>
      </c>
      <c r="C40" s="1051"/>
      <c r="D40" s="1051"/>
      <c r="E40" s="1052"/>
      <c r="F40" s="1052" t="s">
        <v>936</v>
      </c>
      <c r="G40" s="1053"/>
      <c r="H40" s="1053"/>
      <c r="I40" s="1053"/>
      <c r="J40" s="1053"/>
      <c r="K40" s="1053"/>
      <c r="L40" s="1056"/>
    </row>
    <row r="41" spans="1:12" ht="24">
      <c r="A41" s="1045"/>
      <c r="B41" s="1051" t="s">
        <v>1129</v>
      </c>
      <c r="C41" s="1051"/>
      <c r="D41" s="1051"/>
      <c r="E41" s="1052"/>
      <c r="F41" s="1052" t="s">
        <v>936</v>
      </c>
      <c r="G41" s="1053"/>
      <c r="H41" s="1053"/>
      <c r="I41" s="1053"/>
      <c r="J41" s="1053"/>
      <c r="K41" s="1053"/>
      <c r="L41" s="1056"/>
    </row>
    <row r="42" spans="1:12" ht="24">
      <c r="A42" s="1045"/>
      <c r="B42" s="1051" t="s">
        <v>1130</v>
      </c>
      <c r="C42" s="1051"/>
      <c r="D42" s="1051"/>
      <c r="E42" s="1052"/>
      <c r="F42" s="1052" t="s">
        <v>936</v>
      </c>
      <c r="G42" s="1053"/>
      <c r="H42" s="1053"/>
      <c r="I42" s="1053"/>
      <c r="J42" s="1053"/>
      <c r="K42" s="1053"/>
      <c r="L42" s="1056"/>
    </row>
    <row r="43" spans="1:12" ht="24">
      <c r="A43" s="1045"/>
      <c r="B43" s="1051" t="s">
        <v>1131</v>
      </c>
      <c r="C43" s="1051"/>
      <c r="D43" s="1051"/>
      <c r="E43" s="1052"/>
      <c r="F43" s="1052" t="s">
        <v>936</v>
      </c>
      <c r="G43" s="1053"/>
      <c r="H43" s="1053"/>
      <c r="I43" s="1053"/>
      <c r="J43" s="1053"/>
      <c r="K43" s="1053"/>
      <c r="L43" s="1056"/>
    </row>
    <row r="44" spans="1:12" ht="24">
      <c r="A44" s="1045"/>
      <c r="B44" s="1051" t="s">
        <v>1132</v>
      </c>
      <c r="C44" s="1051"/>
      <c r="D44" s="1051"/>
      <c r="E44" s="1052"/>
      <c r="F44" s="1052" t="s">
        <v>104</v>
      </c>
      <c r="G44" s="1053"/>
      <c r="H44" s="1053"/>
      <c r="I44" s="1053"/>
      <c r="J44" s="1053"/>
      <c r="K44" s="1053"/>
      <c r="L44" s="1056"/>
    </row>
    <row r="45" spans="1:12" ht="24">
      <c r="A45" s="1045"/>
      <c r="B45" s="1051" t="s">
        <v>1133</v>
      </c>
      <c r="C45" s="1051"/>
      <c r="D45" s="1051"/>
      <c r="E45" s="1052"/>
      <c r="F45" s="1052" t="s">
        <v>936</v>
      </c>
      <c r="G45" s="1053"/>
      <c r="H45" s="1053"/>
      <c r="I45" s="1053"/>
      <c r="J45" s="1053"/>
      <c r="K45" s="1053"/>
      <c r="L45" s="1056"/>
    </row>
    <row r="46" spans="1:12" ht="24">
      <c r="A46" s="1045"/>
      <c r="B46" s="1051" t="s">
        <v>1134</v>
      </c>
      <c r="C46" s="1051"/>
      <c r="D46" s="1051"/>
      <c r="E46" s="1052"/>
      <c r="F46" s="1052" t="s">
        <v>936</v>
      </c>
      <c r="G46" s="1053"/>
      <c r="H46" s="1053"/>
      <c r="I46" s="1053"/>
      <c r="J46" s="1053"/>
      <c r="K46" s="1053"/>
      <c r="L46" s="1056"/>
    </row>
    <row r="47" spans="1:12" ht="24">
      <c r="A47" s="1045"/>
      <c r="B47" s="1051" t="s">
        <v>1135</v>
      </c>
      <c r="C47" s="1051"/>
      <c r="D47" s="1051"/>
      <c r="E47" s="1052"/>
      <c r="F47" s="1052" t="s">
        <v>936</v>
      </c>
      <c r="G47" s="1053"/>
      <c r="H47" s="1053"/>
      <c r="I47" s="1053"/>
      <c r="J47" s="1053"/>
      <c r="K47" s="1053"/>
      <c r="L47" s="1056"/>
    </row>
    <row r="48" spans="1:12" ht="24">
      <c r="A48" s="1045"/>
      <c r="B48" s="1051" t="s">
        <v>1136</v>
      </c>
      <c r="C48" s="1051"/>
      <c r="D48" s="1051"/>
      <c r="E48" s="1052"/>
      <c r="F48" s="1052" t="s">
        <v>936</v>
      </c>
      <c r="G48" s="1053"/>
      <c r="H48" s="1053"/>
      <c r="I48" s="1053"/>
      <c r="J48" s="1053"/>
      <c r="K48" s="1053"/>
      <c r="L48" s="1056"/>
    </row>
    <row r="49" spans="1:12" ht="24">
      <c r="A49" s="1045"/>
      <c r="B49" s="1051" t="s">
        <v>1137</v>
      </c>
      <c r="C49" s="1051"/>
      <c r="D49" s="1051"/>
      <c r="E49" s="1052"/>
      <c r="F49" s="1052" t="s">
        <v>564</v>
      </c>
      <c r="G49" s="1053"/>
      <c r="H49" s="1053"/>
      <c r="I49" s="1053"/>
      <c r="J49" s="1053"/>
      <c r="K49" s="1053"/>
      <c r="L49" s="1056"/>
    </row>
    <row r="50" spans="1:12" ht="24">
      <c r="A50" s="1045"/>
      <c r="B50" s="1051" t="s">
        <v>1138</v>
      </c>
      <c r="C50" s="1051"/>
      <c r="D50" s="1051"/>
      <c r="E50" s="1052"/>
      <c r="F50" s="1052" t="s">
        <v>936</v>
      </c>
      <c r="G50" s="1053"/>
      <c r="H50" s="1053"/>
      <c r="I50" s="1053"/>
      <c r="J50" s="1053"/>
      <c r="K50" s="1053"/>
      <c r="L50" s="1056"/>
    </row>
    <row r="51" spans="1:12" ht="24">
      <c r="A51" s="1045"/>
      <c r="B51" s="1051" t="s">
        <v>1139</v>
      </c>
      <c r="C51" s="1051"/>
      <c r="D51" s="1051"/>
      <c r="E51" s="1052"/>
      <c r="F51" s="1052" t="s">
        <v>936</v>
      </c>
      <c r="G51" s="1053"/>
      <c r="H51" s="1053"/>
      <c r="I51" s="1053"/>
      <c r="J51" s="1053"/>
      <c r="K51" s="1053"/>
      <c r="L51" s="1056"/>
    </row>
    <row r="52" spans="1:12" ht="24">
      <c r="A52" s="1045"/>
      <c r="B52" s="1051" t="s">
        <v>1140</v>
      </c>
      <c r="C52" s="1051"/>
      <c r="D52" s="1051"/>
      <c r="E52" s="1052"/>
      <c r="F52" s="1052" t="s">
        <v>936</v>
      </c>
      <c r="G52" s="1053"/>
      <c r="H52" s="1053"/>
      <c r="I52" s="1053"/>
      <c r="J52" s="1053"/>
      <c r="K52" s="1053"/>
      <c r="L52" s="1056"/>
    </row>
    <row r="53" spans="1:12" ht="24">
      <c r="A53" s="1045"/>
      <c r="B53" s="1051" t="s">
        <v>1141</v>
      </c>
      <c r="C53" s="1051"/>
      <c r="D53" s="1051"/>
      <c r="E53" s="1052"/>
      <c r="F53" s="1052" t="s">
        <v>936</v>
      </c>
      <c r="G53" s="1053"/>
      <c r="H53" s="1053"/>
      <c r="I53" s="1053"/>
      <c r="J53" s="1053"/>
      <c r="K53" s="1053"/>
      <c r="L53" s="1056"/>
    </row>
    <row r="54" spans="1:12" ht="24">
      <c r="A54" s="1045"/>
      <c r="B54" s="1051" t="s">
        <v>1142</v>
      </c>
      <c r="C54" s="1051"/>
      <c r="D54" s="1051"/>
      <c r="E54" s="1052"/>
      <c r="F54" s="1052" t="s">
        <v>936</v>
      </c>
      <c r="G54" s="1053"/>
      <c r="H54" s="1053"/>
      <c r="I54" s="1053"/>
      <c r="J54" s="1053"/>
      <c r="K54" s="1053"/>
      <c r="L54" s="1056"/>
    </row>
    <row r="55" spans="1:12" ht="24">
      <c r="A55" s="1045"/>
      <c r="B55" s="1051" t="s">
        <v>1143</v>
      </c>
      <c r="C55" s="1051"/>
      <c r="D55" s="1051"/>
      <c r="E55" s="1052"/>
      <c r="F55" s="1052" t="s">
        <v>564</v>
      </c>
      <c r="G55" s="1053"/>
      <c r="H55" s="1053"/>
      <c r="I55" s="1053"/>
      <c r="J55" s="1053"/>
      <c r="K55" s="1053"/>
      <c r="L55" s="1056"/>
    </row>
    <row r="56" spans="1:12" ht="24">
      <c r="A56" s="1045"/>
      <c r="B56" s="1051" t="s">
        <v>673</v>
      </c>
      <c r="C56" s="1051"/>
      <c r="D56" s="1051"/>
      <c r="E56" s="1052"/>
      <c r="F56" s="1052" t="s">
        <v>1030</v>
      </c>
      <c r="G56" s="1053"/>
      <c r="H56" s="1053"/>
      <c r="I56" s="1053"/>
      <c r="J56" s="1053"/>
      <c r="K56" s="1053"/>
      <c r="L56" s="1056"/>
    </row>
    <row r="57" spans="1:12" s="1074" customFormat="1" ht="27.75">
      <c r="A57" s="1070">
        <v>2</v>
      </c>
      <c r="B57" s="1071" t="s">
        <v>1067</v>
      </c>
      <c r="C57" s="1071"/>
      <c r="D57" s="1071"/>
      <c r="E57" s="1072"/>
      <c r="F57" s="1072"/>
      <c r="G57" s="1072"/>
      <c r="H57" s="1072"/>
      <c r="I57" s="1072"/>
      <c r="J57" s="1072"/>
      <c r="K57" s="1072"/>
      <c r="L57" s="1073"/>
    </row>
    <row r="58" spans="1:12" ht="24">
      <c r="A58" s="1045"/>
      <c r="B58" s="1051" t="s">
        <v>1144</v>
      </c>
      <c r="C58" s="1051"/>
      <c r="D58" s="1051"/>
      <c r="E58" s="1052"/>
      <c r="F58" s="1052" t="s">
        <v>104</v>
      </c>
      <c r="G58" s="1053"/>
      <c r="H58" s="1053"/>
      <c r="I58" s="1053"/>
      <c r="J58" s="1053"/>
      <c r="K58" s="1053"/>
      <c r="L58" s="1056"/>
    </row>
    <row r="59" spans="1:12" ht="24">
      <c r="A59" s="1045"/>
      <c r="B59" s="1051" t="s">
        <v>1145</v>
      </c>
      <c r="C59" s="1051"/>
      <c r="D59" s="1051"/>
      <c r="E59" s="1052"/>
      <c r="F59" s="1052" t="s">
        <v>104</v>
      </c>
      <c r="G59" s="1053"/>
      <c r="H59" s="1053"/>
      <c r="I59" s="1053"/>
      <c r="J59" s="1053"/>
      <c r="K59" s="1053"/>
      <c r="L59" s="1056"/>
    </row>
    <row r="60" spans="1:12" ht="24">
      <c r="A60" s="1045"/>
      <c r="B60" s="1051" t="s">
        <v>1146</v>
      </c>
      <c r="C60" s="1051"/>
      <c r="D60" s="1051"/>
      <c r="E60" s="1052"/>
      <c r="F60" s="1052" t="s">
        <v>104</v>
      </c>
      <c r="G60" s="1053"/>
      <c r="H60" s="1053"/>
      <c r="I60" s="1053"/>
      <c r="J60" s="1053"/>
      <c r="K60" s="1053"/>
      <c r="L60" s="1056"/>
    </row>
    <row r="61" spans="1:12" ht="24">
      <c r="A61" s="1045"/>
      <c r="B61" s="1051" t="s">
        <v>1147</v>
      </c>
      <c r="C61" s="1051"/>
      <c r="D61" s="1051"/>
      <c r="E61" s="1052"/>
      <c r="F61" s="1052" t="s">
        <v>104</v>
      </c>
      <c r="G61" s="1053"/>
      <c r="H61" s="1053"/>
      <c r="I61" s="1053"/>
      <c r="J61" s="1053"/>
      <c r="K61" s="1053"/>
      <c r="L61" s="1056"/>
    </row>
    <row r="62" spans="1:12" ht="24">
      <c r="A62" s="1045"/>
      <c r="B62" s="1051" t="s">
        <v>1148</v>
      </c>
      <c r="C62" s="1051"/>
      <c r="D62" s="1051"/>
      <c r="E62" s="1052"/>
      <c r="F62" s="1052" t="s">
        <v>104</v>
      </c>
      <c r="G62" s="1053"/>
      <c r="H62" s="1053"/>
      <c r="I62" s="1053"/>
      <c r="J62" s="1053"/>
      <c r="K62" s="1053"/>
      <c r="L62" s="1056"/>
    </row>
    <row r="63" spans="1:12" ht="23.25">
      <c r="A63" s="1059"/>
      <c r="B63" s="1057" t="s">
        <v>1149</v>
      </c>
      <c r="C63" s="1057"/>
      <c r="D63" s="1057"/>
      <c r="E63" s="1061"/>
      <c r="F63" s="1061"/>
      <c r="G63" s="1061"/>
      <c r="H63" s="1061"/>
      <c r="I63" s="1061"/>
      <c r="J63" s="1061"/>
      <c r="K63" s="1061"/>
      <c r="L63" s="1062"/>
    </row>
    <row r="64" spans="1:12" ht="24">
      <c r="A64" s="1060"/>
      <c r="B64" s="1051" t="s">
        <v>1150</v>
      </c>
      <c r="C64" s="1051"/>
      <c r="D64" s="1051"/>
      <c r="E64" s="1052"/>
      <c r="F64" s="1052" t="s">
        <v>104</v>
      </c>
      <c r="G64" s="1052"/>
      <c r="H64" s="1052"/>
      <c r="I64" s="1052"/>
      <c r="J64" s="1052"/>
      <c r="K64" s="1053"/>
      <c r="L64" s="1056"/>
    </row>
    <row r="65" spans="1:12" ht="24">
      <c r="A65" s="1045"/>
      <c r="B65" s="1051" t="s">
        <v>1151</v>
      </c>
      <c r="C65" s="1051"/>
      <c r="D65" s="1051"/>
      <c r="E65" s="1052"/>
      <c r="F65" s="1052" t="s">
        <v>936</v>
      </c>
      <c r="G65" s="1053"/>
      <c r="H65" s="1053"/>
      <c r="I65" s="1053"/>
      <c r="J65" s="1053"/>
      <c r="K65" s="1053"/>
      <c r="L65" s="1056"/>
    </row>
    <row r="66" spans="1:12" ht="24">
      <c r="A66" s="1045"/>
      <c r="B66" s="1051" t="s">
        <v>1152</v>
      </c>
      <c r="C66" s="1051"/>
      <c r="D66" s="1051"/>
      <c r="E66" s="1052"/>
      <c r="F66" s="1052" t="s">
        <v>936</v>
      </c>
      <c r="G66" s="1053"/>
      <c r="H66" s="1053"/>
      <c r="I66" s="1053"/>
      <c r="J66" s="1053"/>
      <c r="K66" s="1053"/>
      <c r="L66" s="1056"/>
    </row>
    <row r="67" spans="1:12" ht="24">
      <c r="A67" s="1045"/>
      <c r="B67" s="1051" t="s">
        <v>1153</v>
      </c>
      <c r="C67" s="1051"/>
      <c r="D67" s="1051"/>
      <c r="E67" s="1052"/>
      <c r="F67" s="1052" t="s">
        <v>104</v>
      </c>
      <c r="G67" s="1053"/>
      <c r="H67" s="1053"/>
      <c r="I67" s="1053"/>
      <c r="J67" s="1053"/>
      <c r="K67" s="1053"/>
      <c r="L67" s="1056"/>
    </row>
    <row r="68" spans="1:12" ht="24">
      <c r="A68" s="1045"/>
      <c r="B68" s="1051" t="s">
        <v>1154</v>
      </c>
      <c r="C68" s="1051"/>
      <c r="D68" s="1051"/>
      <c r="E68" s="1052"/>
      <c r="F68" s="1052" t="s">
        <v>936</v>
      </c>
      <c r="G68" s="1053"/>
      <c r="H68" s="1053"/>
      <c r="I68" s="1053"/>
      <c r="J68" s="1053"/>
      <c r="K68" s="1053"/>
      <c r="L68" s="1056"/>
    </row>
    <row r="69" spans="1:12" ht="24">
      <c r="A69" s="1045"/>
      <c r="B69" s="1051" t="s">
        <v>1155</v>
      </c>
      <c r="C69" s="1051"/>
      <c r="D69" s="1051"/>
      <c r="E69" s="1052"/>
      <c r="F69" s="1052" t="s">
        <v>936</v>
      </c>
      <c r="G69" s="1053"/>
      <c r="H69" s="1053"/>
      <c r="I69" s="1053"/>
      <c r="J69" s="1053"/>
      <c r="K69" s="1053"/>
      <c r="L69" s="1056"/>
    </row>
    <row r="70" spans="1:12" ht="24">
      <c r="A70" s="1045"/>
      <c r="B70" s="1051" t="s">
        <v>1156</v>
      </c>
      <c r="C70" s="1051"/>
      <c r="D70" s="1051"/>
      <c r="E70" s="1052"/>
      <c r="F70" s="1052" t="s">
        <v>1030</v>
      </c>
      <c r="G70" s="1053"/>
      <c r="H70" s="1053"/>
      <c r="I70" s="1053"/>
      <c r="J70" s="1053"/>
      <c r="K70" s="1053"/>
      <c r="L70" s="1056"/>
    </row>
    <row r="71" spans="1:12" s="1075" customFormat="1" ht="26.25">
      <c r="A71" s="1070">
        <v>3</v>
      </c>
      <c r="B71" s="1071" t="s">
        <v>1157</v>
      </c>
      <c r="C71" s="1071"/>
      <c r="D71" s="1071"/>
      <c r="E71" s="1072"/>
      <c r="F71" s="1072"/>
      <c r="G71" s="1072"/>
      <c r="H71" s="1072"/>
      <c r="I71" s="1072"/>
      <c r="J71" s="1072"/>
      <c r="K71" s="1072"/>
      <c r="L71" s="1073"/>
    </row>
    <row r="72" spans="1:12" ht="24">
      <c r="A72" s="1059"/>
      <c r="B72" s="1051" t="s">
        <v>1158</v>
      </c>
      <c r="C72" s="1051"/>
      <c r="D72" s="1051"/>
      <c r="E72" s="1052"/>
      <c r="F72" s="1052" t="s">
        <v>936</v>
      </c>
      <c r="G72" s="1053"/>
      <c r="H72" s="1053"/>
      <c r="I72" s="1053"/>
      <c r="J72" s="1053"/>
      <c r="K72" s="1053"/>
      <c r="L72" s="1056"/>
    </row>
    <row r="73" spans="1:12" ht="24">
      <c r="A73" s="1059"/>
      <c r="B73" s="1051" t="s">
        <v>1159</v>
      </c>
      <c r="C73" s="1051"/>
      <c r="D73" s="1051"/>
      <c r="E73" s="1052"/>
      <c r="F73" s="1052" t="s">
        <v>936</v>
      </c>
      <c r="G73" s="1053"/>
      <c r="H73" s="1053"/>
      <c r="I73" s="1053"/>
      <c r="J73" s="1053"/>
      <c r="K73" s="1053"/>
      <c r="L73" s="1056"/>
    </row>
    <row r="74" spans="1:12" ht="24">
      <c r="A74" s="1059"/>
      <c r="B74" s="1051" t="s">
        <v>1160</v>
      </c>
      <c r="C74" s="1051"/>
      <c r="D74" s="1051"/>
      <c r="E74" s="1052"/>
      <c r="F74" s="1052" t="s">
        <v>936</v>
      </c>
      <c r="G74" s="1053"/>
      <c r="H74" s="1053"/>
      <c r="I74" s="1053"/>
      <c r="J74" s="1053"/>
      <c r="K74" s="1053"/>
      <c r="L74" s="1056"/>
    </row>
    <row r="75" spans="1:12" ht="24">
      <c r="A75" s="1059"/>
      <c r="B75" s="1051" t="s">
        <v>1161</v>
      </c>
      <c r="C75" s="1051"/>
      <c r="D75" s="1051"/>
      <c r="E75" s="1052"/>
      <c r="F75" s="1052" t="s">
        <v>936</v>
      </c>
      <c r="G75" s="1053"/>
      <c r="H75" s="1053"/>
      <c r="I75" s="1053"/>
      <c r="J75" s="1053"/>
      <c r="K75" s="1053"/>
      <c r="L75" s="1056"/>
    </row>
    <row r="76" spans="1:12" ht="24">
      <c r="A76" s="1059"/>
      <c r="B76" s="1051" t="s">
        <v>1162</v>
      </c>
      <c r="C76" s="1051"/>
      <c r="D76" s="1051"/>
      <c r="E76" s="1052"/>
      <c r="F76" s="1052" t="s">
        <v>936</v>
      </c>
      <c r="G76" s="1053"/>
      <c r="H76" s="1053"/>
      <c r="I76" s="1053"/>
      <c r="J76" s="1053"/>
      <c r="K76" s="1053"/>
      <c r="L76" s="1056"/>
    </row>
    <row r="77" spans="1:12" ht="24">
      <c r="A77" s="1045"/>
      <c r="B77" s="1051" t="s">
        <v>1163</v>
      </c>
      <c r="C77" s="1051"/>
      <c r="D77" s="1051"/>
      <c r="E77" s="1052"/>
      <c r="F77" s="1052" t="s">
        <v>1030</v>
      </c>
      <c r="G77" s="1053"/>
      <c r="H77" s="1053"/>
      <c r="I77" s="1053"/>
      <c r="J77" s="1053"/>
      <c r="K77" s="1053"/>
      <c r="L77" s="1056"/>
    </row>
    <row r="78" spans="1:12" ht="24">
      <c r="A78" s="1045"/>
      <c r="B78" s="1058" t="s">
        <v>1164</v>
      </c>
      <c r="C78" s="1058"/>
      <c r="D78" s="1058"/>
      <c r="E78" s="1052"/>
      <c r="F78" s="1052" t="s">
        <v>240</v>
      </c>
      <c r="G78" s="1053"/>
      <c r="H78" s="1053"/>
      <c r="I78" s="1053"/>
      <c r="J78" s="1053"/>
      <c r="K78" s="1053"/>
      <c r="L78" s="1056"/>
    </row>
    <row r="79" spans="1:12" ht="24">
      <c r="A79" s="1045"/>
      <c r="B79" s="1058" t="s">
        <v>1165</v>
      </c>
      <c r="C79" s="1058"/>
      <c r="D79" s="1058"/>
      <c r="E79" s="1052"/>
      <c r="F79" s="1052" t="s">
        <v>1030</v>
      </c>
      <c r="G79" s="1053"/>
      <c r="H79" s="1053"/>
      <c r="I79" s="1053"/>
      <c r="J79" s="1053"/>
      <c r="K79" s="1053"/>
      <c r="L79" s="1056"/>
    </row>
    <row r="80" spans="1:12" ht="24">
      <c r="A80" s="1045"/>
      <c r="B80" s="1051" t="s">
        <v>1166</v>
      </c>
      <c r="C80" s="1051"/>
      <c r="D80" s="1051"/>
      <c r="E80" s="1052"/>
      <c r="F80" s="1052" t="s">
        <v>564</v>
      </c>
      <c r="G80" s="1053"/>
      <c r="H80" s="1053"/>
      <c r="I80" s="1053"/>
      <c r="J80" s="1053"/>
      <c r="K80" s="1053"/>
      <c r="L80" s="1056"/>
    </row>
    <row r="81" spans="1:14" ht="24">
      <c r="A81" s="1045"/>
      <c r="B81" s="1051" t="s">
        <v>1167</v>
      </c>
      <c r="C81" s="1051"/>
      <c r="D81" s="1051"/>
      <c r="E81" s="1052"/>
      <c r="F81" s="1052" t="s">
        <v>936</v>
      </c>
      <c r="G81" s="1053"/>
      <c r="H81" s="1053"/>
      <c r="I81" s="1053"/>
      <c r="J81" s="1053"/>
      <c r="K81" s="1053"/>
      <c r="L81" s="1056"/>
    </row>
    <row r="82" spans="1:14" ht="24">
      <c r="A82" s="1045"/>
      <c r="B82" s="1051" t="s">
        <v>1168</v>
      </c>
      <c r="C82" s="1051"/>
      <c r="D82" s="1051"/>
      <c r="E82" s="1052"/>
      <c r="F82" s="1052" t="s">
        <v>936</v>
      </c>
      <c r="G82" s="1053"/>
      <c r="H82" s="1053"/>
      <c r="I82" s="1053"/>
      <c r="J82" s="1053"/>
      <c r="K82" s="1053"/>
      <c r="L82" s="1056"/>
    </row>
    <row r="83" spans="1:14" ht="24">
      <c r="A83" s="1045"/>
      <c r="B83" s="1051" t="s">
        <v>1169</v>
      </c>
      <c r="C83" s="1051"/>
      <c r="D83" s="1051"/>
      <c r="E83" s="1052"/>
      <c r="F83" s="1052" t="s">
        <v>936</v>
      </c>
      <c r="G83" s="1053"/>
      <c r="H83" s="1053"/>
      <c r="I83" s="1053"/>
      <c r="J83" s="1053"/>
      <c r="K83" s="1053"/>
      <c r="L83" s="1056"/>
    </row>
    <row r="84" spans="1:14" ht="24">
      <c r="A84" s="1045"/>
      <c r="B84" s="1051" t="s">
        <v>1170</v>
      </c>
      <c r="C84" s="1051"/>
      <c r="D84" s="1051"/>
      <c r="E84" s="1052"/>
      <c r="F84" s="1052" t="s">
        <v>936</v>
      </c>
      <c r="G84" s="1053"/>
      <c r="H84" s="1053"/>
      <c r="I84" s="1053"/>
      <c r="J84" s="1053"/>
      <c r="K84" s="1053"/>
      <c r="L84" s="1056"/>
    </row>
    <row r="85" spans="1:14" ht="24">
      <c r="A85" s="1045"/>
      <c r="B85" s="1051" t="s">
        <v>1171</v>
      </c>
      <c r="C85" s="1051"/>
      <c r="D85" s="1051"/>
      <c r="E85" s="1052"/>
      <c r="F85" s="1052" t="s">
        <v>936</v>
      </c>
      <c r="G85" s="1053"/>
      <c r="H85" s="1053"/>
      <c r="I85" s="1053"/>
      <c r="J85" s="1053"/>
      <c r="K85" s="1053"/>
      <c r="L85" s="1056"/>
    </row>
    <row r="86" spans="1:14" ht="24">
      <c r="A86" s="1045"/>
      <c r="B86" s="1051" t="s">
        <v>1172</v>
      </c>
      <c r="C86" s="1051"/>
      <c r="D86" s="1051"/>
      <c r="E86" s="1052"/>
      <c r="F86" s="1052" t="s">
        <v>936</v>
      </c>
      <c r="G86" s="1053"/>
      <c r="H86" s="1053"/>
      <c r="I86" s="1053"/>
      <c r="J86" s="1053"/>
      <c r="K86" s="1053"/>
      <c r="L86" s="1056"/>
    </row>
    <row r="87" spans="1:14" ht="24">
      <c r="A87" s="1045"/>
      <c r="B87" s="1051" t="s">
        <v>1173</v>
      </c>
      <c r="C87" s="1051"/>
      <c r="D87" s="1051"/>
      <c r="E87" s="1052"/>
      <c r="F87" s="1052" t="s">
        <v>936</v>
      </c>
      <c r="G87" s="1053"/>
      <c r="H87" s="1053"/>
      <c r="I87" s="1053"/>
      <c r="J87" s="1053"/>
      <c r="K87" s="1053"/>
      <c r="L87" s="1056"/>
    </row>
    <row r="88" spans="1:14" s="1075" customFormat="1" ht="26.25">
      <c r="A88" s="1070">
        <v>4</v>
      </c>
      <c r="B88" s="1071" t="s">
        <v>1174</v>
      </c>
      <c r="C88" s="1071"/>
      <c r="D88" s="1071"/>
      <c r="E88" s="1076"/>
      <c r="F88" s="1076"/>
      <c r="G88" s="1072"/>
      <c r="H88" s="1072"/>
      <c r="I88" s="1072"/>
      <c r="J88" s="1072"/>
      <c r="K88" s="1072"/>
      <c r="L88" s="1073"/>
    </row>
    <row r="89" spans="1:14" ht="47.25" customHeight="1">
      <c r="A89" s="1045"/>
      <c r="B89" s="1801" t="s">
        <v>1175</v>
      </c>
      <c r="C89" s="1801"/>
      <c r="D89" s="1801"/>
      <c r="E89" s="1052"/>
      <c r="F89" s="1052" t="s">
        <v>240</v>
      </c>
      <c r="G89" s="1053"/>
      <c r="H89" s="1053"/>
      <c r="I89" s="1053"/>
      <c r="J89" s="1053"/>
      <c r="K89" s="1053"/>
      <c r="L89" s="1056"/>
    </row>
    <row r="90" spans="1:14" ht="24">
      <c r="A90" s="1045"/>
      <c r="B90" s="1051" t="s">
        <v>1176</v>
      </c>
      <c r="C90" s="1051"/>
      <c r="D90" s="1051"/>
      <c r="E90" s="1052"/>
      <c r="F90" s="1052" t="s">
        <v>936</v>
      </c>
      <c r="G90" s="1053"/>
      <c r="H90" s="1053"/>
      <c r="I90" s="1053"/>
      <c r="J90" s="1053"/>
      <c r="K90" s="1053"/>
      <c r="L90" s="1056"/>
    </row>
    <row r="91" spans="1:14" ht="24">
      <c r="A91" s="1045"/>
      <c r="B91" s="1051" t="s">
        <v>1177</v>
      </c>
      <c r="C91" s="1051"/>
      <c r="D91" s="1051"/>
      <c r="E91" s="1052"/>
      <c r="F91" s="1052" t="s">
        <v>936</v>
      </c>
      <c r="G91" s="1053"/>
      <c r="H91" s="1053"/>
      <c r="I91" s="1053"/>
      <c r="J91" s="1053"/>
      <c r="K91" s="1053"/>
      <c r="L91" s="1056"/>
    </row>
    <row r="92" spans="1:14" ht="24">
      <c r="A92" s="1045"/>
      <c r="B92" s="1051" t="s">
        <v>673</v>
      </c>
      <c r="C92" s="1051"/>
      <c r="D92" s="1051"/>
      <c r="E92" s="1052"/>
      <c r="F92" s="1052" t="s">
        <v>1030</v>
      </c>
      <c r="G92" s="1053"/>
      <c r="H92" s="1053"/>
      <c r="I92" s="1053"/>
      <c r="J92" s="1053"/>
      <c r="K92" s="1053"/>
      <c r="L92" s="1056"/>
    </row>
    <row r="93" spans="1:14" ht="24.75" thickBot="1">
      <c r="A93" s="1046"/>
      <c r="B93" s="1047"/>
      <c r="C93" s="1047"/>
      <c r="D93" s="1047"/>
      <c r="E93" s="1063"/>
      <c r="F93" s="1048"/>
      <c r="G93" s="1049"/>
      <c r="H93" s="1049"/>
      <c r="I93" s="1049"/>
      <c r="J93" s="1049"/>
      <c r="K93" s="1049"/>
      <c r="L93" s="1050"/>
      <c r="N93" s="1043"/>
    </row>
    <row r="94" spans="1:14" s="1075" customFormat="1" ht="27" thickBot="1">
      <c r="A94" s="1078"/>
      <c r="B94" s="1079" t="s">
        <v>1046</v>
      </c>
      <c r="C94" s="1080"/>
      <c r="D94" s="1081"/>
      <c r="E94" s="1082"/>
      <c r="F94" s="1083"/>
      <c r="G94" s="1084"/>
      <c r="H94" s="1084">
        <f>SUM(H11:H93)</f>
        <v>0</v>
      </c>
      <c r="I94" s="1084"/>
      <c r="J94" s="1084">
        <f>SUM(J11:J93)</f>
        <v>0</v>
      </c>
      <c r="K94" s="1084"/>
      <c r="L94" s="1085">
        <f>SUM(L10:L93)</f>
        <v>0</v>
      </c>
    </row>
    <row r="95" spans="1:14" ht="24">
      <c r="A95" s="1077"/>
      <c r="K95" s="1044"/>
    </row>
  </sheetData>
  <mergeCells count="11">
    <mergeCell ref="T3:T4"/>
    <mergeCell ref="N5:T5"/>
    <mergeCell ref="I6:J6"/>
    <mergeCell ref="A1:L1"/>
    <mergeCell ref="A2:L2"/>
    <mergeCell ref="L6:L7"/>
    <mergeCell ref="B89:D89"/>
    <mergeCell ref="A6:A8"/>
    <mergeCell ref="B6:D8"/>
    <mergeCell ref="E6:E8"/>
    <mergeCell ref="F6:F8"/>
  </mergeCells>
  <printOptions horizontalCentered="1"/>
  <pageMargins left="0.7" right="0.7" top="0.75" bottom="0.75" header="0.3" footer="0.3"/>
  <pageSetup paperSize="9" scale="72" orientation="landscape" r:id="rId1"/>
  <colBreaks count="1" manualBreakCount="1">
    <brk id="1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4EFD-ACBC-403B-88CF-183F18993EAD}">
  <sheetPr>
    <tabColor rgb="FF92D050"/>
    <pageSetUpPr fitToPage="1"/>
  </sheetPr>
  <dimension ref="A1:V76"/>
  <sheetViews>
    <sheetView view="pageBreakPreview" topLeftCell="A35" zoomScale="85" zoomScaleNormal="70" zoomScaleSheetLayoutView="85" workbookViewId="0">
      <selection activeCell="K45" sqref="K45"/>
    </sheetView>
  </sheetViews>
  <sheetFormatPr defaultColWidth="9.140625" defaultRowHeight="18.75" outlineLevelCol="1"/>
  <cols>
    <col min="1" max="1" width="10.85546875" style="549" customWidth="1"/>
    <col min="2" max="2" width="7.140625" style="549" customWidth="1"/>
    <col min="3" max="3" width="8" style="551" customWidth="1"/>
    <col min="4" max="4" width="42.5703125" style="954" customWidth="1"/>
    <col min="5" max="5" width="12.140625" style="549" customWidth="1"/>
    <col min="6" max="6" width="14.5703125" style="1428" bestFit="1" customWidth="1"/>
    <col min="7" max="7" width="15.28515625" style="1428" customWidth="1" outlineLevel="1"/>
    <col min="8" max="8" width="20" style="1429" customWidth="1" outlineLevel="1"/>
    <col min="9" max="9" width="15.28515625" style="1428" customWidth="1" outlineLevel="1"/>
    <col min="10" max="10" width="17.5703125" style="1429" customWidth="1" outlineLevel="1"/>
    <col min="11" max="11" width="21.5703125" style="1430" customWidth="1"/>
    <col min="12" max="12" width="18.42578125" style="1430" customWidth="1"/>
    <col min="13" max="13" width="19.28515625" style="936" customWidth="1"/>
    <col min="14" max="14" width="12.140625" style="549" customWidth="1"/>
    <col min="15" max="15" width="9.140625" style="549"/>
    <col min="16" max="17" width="11.28515625" style="549" customWidth="1"/>
    <col min="18" max="18" width="14.28515625" style="549" customWidth="1"/>
    <col min="19" max="16384" width="9.140625" style="549"/>
  </cols>
  <sheetData>
    <row r="1" spans="1:22" ht="34.5" hidden="1" customHeight="1">
      <c r="A1" s="1742" t="s">
        <v>0</v>
      </c>
      <c r="B1" s="1743"/>
      <c r="C1" s="1743"/>
      <c r="D1" s="1743"/>
      <c r="E1" s="1743"/>
      <c r="F1" s="1743"/>
      <c r="G1" s="1743"/>
      <c r="H1" s="1743"/>
      <c r="I1" s="1743"/>
      <c r="J1" s="1743"/>
      <c r="K1" s="1744"/>
      <c r="L1" s="1086"/>
    </row>
    <row r="2" spans="1:22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1087"/>
      <c r="M2" s="937"/>
      <c r="N2" s="152"/>
      <c r="O2" s="152"/>
      <c r="P2" s="11"/>
      <c r="Q2" s="11"/>
      <c r="R2" s="11"/>
      <c r="S2" s="11"/>
      <c r="T2" s="11"/>
      <c r="U2" s="11"/>
      <c r="V2" s="11"/>
    </row>
    <row r="3" spans="1:22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574"/>
      <c r="M3" s="937"/>
      <c r="N3" s="152"/>
      <c r="O3" s="152"/>
      <c r="P3" s="11"/>
      <c r="Q3" s="11"/>
      <c r="R3" s="11"/>
      <c r="S3" s="11"/>
      <c r="T3" s="11"/>
      <c r="U3" s="11"/>
      <c r="V3" s="11"/>
    </row>
    <row r="4" spans="1:22" s="10" customFormat="1" ht="26.25" customHeight="1">
      <c r="A4" s="153" t="s">
        <v>1</v>
      </c>
      <c r="B4" s="89"/>
      <c r="C4" s="90"/>
      <c r="D4" s="89" t="s">
        <v>559</v>
      </c>
      <c r="E4" s="91"/>
      <c r="F4" s="42"/>
      <c r="G4" s="42"/>
      <c r="H4" s="41"/>
      <c r="I4" s="43" t="s">
        <v>108</v>
      </c>
      <c r="J4" s="44"/>
      <c r="K4" s="1381"/>
      <c r="L4" s="45"/>
      <c r="M4" s="937"/>
      <c r="N4" s="152"/>
      <c r="O4" s="152"/>
      <c r="P4" s="11"/>
      <c r="Q4" s="11"/>
      <c r="R4" s="11"/>
      <c r="S4" s="11"/>
      <c r="T4" s="11"/>
      <c r="U4" s="1669"/>
      <c r="V4" s="11"/>
    </row>
    <row r="5" spans="1:22" s="10" customFormat="1" ht="27" customHeight="1">
      <c r="A5" s="155" t="s">
        <v>109</v>
      </c>
      <c r="B5" s="94"/>
      <c r="C5" s="95"/>
      <c r="D5" s="89" t="s">
        <v>27</v>
      </c>
      <c r="E5" s="96"/>
      <c r="F5" s="50"/>
      <c r="G5" s="50"/>
      <c r="H5" s="49"/>
      <c r="I5" s="43" t="s">
        <v>111</v>
      </c>
      <c r="J5" s="44"/>
      <c r="K5" s="1381"/>
      <c r="L5" s="45"/>
      <c r="M5" s="937"/>
      <c r="N5" s="152"/>
      <c r="O5" s="152"/>
      <c r="P5" s="11"/>
      <c r="Q5" s="11"/>
      <c r="R5" s="11"/>
      <c r="S5" s="11"/>
      <c r="T5" s="11"/>
      <c r="U5" s="1669"/>
      <c r="V5" s="11"/>
    </row>
    <row r="6" spans="1:22" s="10" customFormat="1" ht="27" thickBot="1">
      <c r="A6" s="156" t="s">
        <v>3</v>
      </c>
      <c r="B6" s="101"/>
      <c r="C6" s="102"/>
      <c r="D6" s="101" t="s">
        <v>883</v>
      </c>
      <c r="E6" s="103"/>
      <c r="F6" s="55"/>
      <c r="G6" s="55"/>
      <c r="H6" s="54"/>
      <c r="I6" s="56" t="s">
        <v>113</v>
      </c>
      <c r="J6" s="57"/>
      <c r="K6" s="1382"/>
      <c r="L6" s="58"/>
      <c r="M6" s="937"/>
      <c r="N6" s="1670"/>
      <c r="O6" s="1670"/>
      <c r="P6" s="1670"/>
      <c r="Q6" s="1670"/>
      <c r="R6" s="1670"/>
      <c r="S6" s="1670"/>
      <c r="T6" s="1670"/>
      <c r="U6" s="1670"/>
      <c r="V6" s="11"/>
    </row>
    <row r="7" spans="1:22" s="942" customFormat="1" ht="23.25">
      <c r="A7" s="1718" t="s">
        <v>6</v>
      </c>
      <c r="B7" s="1721" t="s">
        <v>7</v>
      </c>
      <c r="C7" s="1722"/>
      <c r="D7" s="1723"/>
      <c r="E7" s="1730" t="s">
        <v>576</v>
      </c>
      <c r="F7" s="1802" t="s">
        <v>1178</v>
      </c>
      <c r="G7" s="1805" t="s">
        <v>10</v>
      </c>
      <c r="H7" s="1805"/>
      <c r="I7" s="1805" t="s">
        <v>11</v>
      </c>
      <c r="J7" s="1805"/>
      <c r="K7" s="1809" t="s">
        <v>13</v>
      </c>
      <c r="L7" s="1811" t="s">
        <v>931</v>
      </c>
      <c r="M7" s="1741"/>
      <c r="N7" s="941"/>
    </row>
    <row r="8" spans="1:22" s="942" customFormat="1" ht="23.25">
      <c r="A8" s="1719"/>
      <c r="B8" s="1724"/>
      <c r="C8" s="1725"/>
      <c r="D8" s="1726"/>
      <c r="E8" s="1731"/>
      <c r="F8" s="1803"/>
      <c r="G8" s="1383" t="s">
        <v>9</v>
      </c>
      <c r="H8" s="1384" t="s">
        <v>13</v>
      </c>
      <c r="I8" s="1383" t="s">
        <v>9</v>
      </c>
      <c r="J8" s="1384" t="s">
        <v>13</v>
      </c>
      <c r="K8" s="1810"/>
      <c r="L8" s="1812"/>
      <c r="M8" s="1741"/>
      <c r="N8" s="941"/>
    </row>
    <row r="9" spans="1:22" s="942" customFormat="1" ht="24" thickBot="1">
      <c r="A9" s="1720"/>
      <c r="B9" s="1727"/>
      <c r="C9" s="1728"/>
      <c r="D9" s="1729"/>
      <c r="E9" s="1732"/>
      <c r="F9" s="1804"/>
      <c r="G9" s="1386" t="s">
        <v>115</v>
      </c>
      <c r="H9" s="1387" t="s">
        <v>14</v>
      </c>
      <c r="I9" s="1386" t="s">
        <v>115</v>
      </c>
      <c r="J9" s="1387" t="s">
        <v>14</v>
      </c>
      <c r="K9" s="1387" t="s">
        <v>14</v>
      </c>
      <c r="L9" s="1388"/>
      <c r="M9" s="1741"/>
      <c r="N9" s="941"/>
    </row>
    <row r="10" spans="1:22" s="28" customFormat="1" ht="26.25">
      <c r="A10" s="628"/>
      <c r="B10" s="763" t="s">
        <v>562</v>
      </c>
      <c r="C10" s="1321"/>
      <c r="D10" s="629"/>
      <c r="E10" s="690"/>
      <c r="F10" s="631"/>
      <c r="G10" s="632"/>
      <c r="H10" s="633"/>
      <c r="I10" s="632"/>
      <c r="J10" s="633"/>
      <c r="K10" s="679"/>
      <c r="L10" s="747"/>
      <c r="N10" s="572"/>
      <c r="O10" s="573"/>
      <c r="P10" s="1"/>
      <c r="Q10" s="3"/>
      <c r="R10" s="3"/>
      <c r="S10" s="3"/>
      <c r="T10" s="3"/>
      <c r="U10" s="15"/>
    </row>
    <row r="11" spans="1:22" s="28" customFormat="1" ht="24">
      <c r="A11" s="691">
        <v>1</v>
      </c>
      <c r="B11" s="764" t="s">
        <v>1179</v>
      </c>
      <c r="C11" s="1322"/>
      <c r="D11" s="693"/>
      <c r="E11" s="694"/>
      <c r="F11" s="695" t="s">
        <v>19</v>
      </c>
      <c r="G11" s="696"/>
      <c r="H11" s="697"/>
      <c r="I11" s="696"/>
      <c r="J11" s="697"/>
      <c r="K11" s="698"/>
      <c r="L11" s="748"/>
      <c r="N11" s="572"/>
      <c r="O11" s="573"/>
      <c r="P11" s="1"/>
      <c r="Q11" s="3"/>
      <c r="R11" s="3"/>
      <c r="S11" s="3"/>
      <c r="T11" s="3"/>
      <c r="U11" s="15"/>
    </row>
    <row r="12" spans="1:22" s="28" customFormat="1" ht="24">
      <c r="A12" s="691">
        <v>2</v>
      </c>
      <c r="B12" s="764" t="s">
        <v>1180</v>
      </c>
      <c r="C12" s="1322"/>
      <c r="D12" s="693"/>
      <c r="E12" s="694"/>
      <c r="F12" s="695" t="s">
        <v>19</v>
      </c>
      <c r="G12" s="696"/>
      <c r="H12" s="697"/>
      <c r="I12" s="696"/>
      <c r="J12" s="697"/>
      <c r="K12" s="698"/>
      <c r="L12" s="748"/>
      <c r="N12" s="572"/>
      <c r="O12" s="573"/>
      <c r="P12" s="1"/>
      <c r="Q12" s="3"/>
      <c r="R12" s="3"/>
      <c r="S12" s="3"/>
      <c r="T12" s="3"/>
      <c r="U12" s="15"/>
    </row>
    <row r="13" spans="1:22" s="28" customFormat="1" ht="24">
      <c r="A13" s="691">
        <v>3</v>
      </c>
      <c r="B13" s="764" t="s">
        <v>1181</v>
      </c>
      <c r="C13" s="1322"/>
      <c r="D13" s="693"/>
      <c r="E13" s="694"/>
      <c r="F13" s="695" t="s">
        <v>564</v>
      </c>
      <c r="G13" s="696"/>
      <c r="H13" s="697"/>
      <c r="I13" s="696"/>
      <c r="J13" s="697"/>
      <c r="K13" s="698"/>
      <c r="L13" s="748"/>
      <c r="N13" s="572"/>
      <c r="O13" s="573"/>
      <c r="P13" s="1"/>
      <c r="Q13" s="3"/>
      <c r="R13" s="3"/>
      <c r="S13" s="3"/>
      <c r="T13" s="3"/>
      <c r="U13" s="15"/>
    </row>
    <row r="14" spans="1:22" s="28" customFormat="1" ht="22.5" thickBot="1">
      <c r="A14" s="706"/>
      <c r="B14" s="766"/>
      <c r="C14" s="1324"/>
      <c r="D14" s="708"/>
      <c r="E14" s="911"/>
      <c r="F14" s="710"/>
      <c r="G14" s="711"/>
      <c r="H14" s="712"/>
      <c r="I14" s="711"/>
      <c r="J14" s="712"/>
      <c r="K14" s="713"/>
      <c r="L14" s="749"/>
      <c r="N14" s="572"/>
      <c r="O14" s="573"/>
      <c r="P14" s="1"/>
      <c r="Q14" s="3"/>
      <c r="R14" s="3"/>
      <c r="S14" s="3"/>
      <c r="T14" s="3"/>
      <c r="U14" s="15"/>
    </row>
    <row r="15" spans="1:22" s="724" customFormat="1" ht="27" thickBot="1">
      <c r="A15" s="715"/>
      <c r="B15" s="767"/>
      <c r="C15" s="1325"/>
      <c r="D15" s="714" t="s">
        <v>566</v>
      </c>
      <c r="E15" s="912"/>
      <c r="F15" s="718"/>
      <c r="G15" s="719"/>
      <c r="H15" s="1200"/>
      <c r="I15" s="719"/>
      <c r="J15" s="1200"/>
      <c r="K15" s="1200"/>
      <c r="L15" s="726"/>
      <c r="N15" s="720" t="str">
        <f>IF(L15=L305,"OK","Check")</f>
        <v>OK</v>
      </c>
      <c r="O15" s="721"/>
      <c r="P15" s="722"/>
      <c r="Q15" s="723"/>
      <c r="R15" s="723"/>
      <c r="S15" s="723"/>
      <c r="T15" s="723"/>
      <c r="U15" s="725"/>
    </row>
    <row r="16" spans="1:22" s="942" customFormat="1" ht="23.25">
      <c r="A16" s="1201">
        <v>1</v>
      </c>
      <c r="B16" s="1461" t="s">
        <v>575</v>
      </c>
      <c r="C16" s="1092"/>
      <c r="D16" s="945"/>
      <c r="E16" s="949"/>
      <c r="F16" s="924"/>
      <c r="G16" s="1389"/>
      <c r="H16" s="1389"/>
      <c r="I16" s="1389"/>
      <c r="J16" s="1389"/>
      <c r="K16" s="1467"/>
      <c r="L16" s="1385"/>
      <c r="M16" s="1741"/>
      <c r="N16" s="941"/>
    </row>
    <row r="17" spans="1:14" s="942" customFormat="1" ht="24">
      <c r="A17" s="1463">
        <v>1.1000000000000001</v>
      </c>
      <c r="B17" s="1202" t="s">
        <v>374</v>
      </c>
      <c r="C17" s="1092"/>
      <c r="D17" s="945"/>
      <c r="E17" s="949"/>
      <c r="F17" s="949" t="s">
        <v>240</v>
      </c>
      <c r="G17" s="1389"/>
      <c r="H17" s="1389"/>
      <c r="I17" s="1389"/>
      <c r="J17" s="1389"/>
      <c r="K17" s="1467"/>
      <c r="L17" s="1466"/>
      <c r="M17" s="1741"/>
      <c r="N17" s="941"/>
    </row>
    <row r="18" spans="1:14" s="942" customFormat="1" ht="24">
      <c r="A18" s="1463">
        <v>1.2</v>
      </c>
      <c r="B18" s="1202" t="s">
        <v>376</v>
      </c>
      <c r="C18" s="1092"/>
      <c r="D18" s="945"/>
      <c r="E18" s="949"/>
      <c r="F18" s="949" t="s">
        <v>240</v>
      </c>
      <c r="G18" s="1389"/>
      <c r="H18" s="1389"/>
      <c r="I18" s="1389"/>
      <c r="J18" s="1389"/>
      <c r="K18" s="1467"/>
      <c r="L18" s="1466"/>
      <c r="M18" s="1741"/>
      <c r="N18" s="941"/>
    </row>
    <row r="19" spans="1:14" s="942" customFormat="1" ht="24">
      <c r="A19" s="1463">
        <v>1.3</v>
      </c>
      <c r="B19" s="1202" t="s">
        <v>378</v>
      </c>
      <c r="C19" s="1092"/>
      <c r="D19" s="945"/>
      <c r="E19" s="949"/>
      <c r="F19" s="949" t="s">
        <v>240</v>
      </c>
      <c r="G19" s="1389"/>
      <c r="H19" s="1389"/>
      <c r="I19" s="1389"/>
      <c r="J19" s="1389"/>
      <c r="K19" s="1467"/>
      <c r="L19" s="1466"/>
      <c r="M19" s="1741"/>
      <c r="N19" s="941"/>
    </row>
    <row r="20" spans="1:14" s="942" customFormat="1" ht="24">
      <c r="A20" s="1463">
        <v>1.4</v>
      </c>
      <c r="B20" s="1202" t="s">
        <v>1182</v>
      </c>
      <c r="C20" s="1092"/>
      <c r="D20" s="945"/>
      <c r="E20" s="949"/>
      <c r="F20" s="949" t="s">
        <v>240</v>
      </c>
      <c r="G20" s="1389"/>
      <c r="H20" s="1389"/>
      <c r="I20" s="1389"/>
      <c r="J20" s="1389"/>
      <c r="K20" s="1467"/>
      <c r="L20" s="1466"/>
      <c r="M20" s="1741"/>
      <c r="N20" s="941"/>
    </row>
    <row r="21" spans="1:14" s="942" customFormat="1" ht="24">
      <c r="A21" s="1463">
        <v>1.5</v>
      </c>
      <c r="B21" s="1202" t="s">
        <v>382</v>
      </c>
      <c r="C21" s="1092"/>
      <c r="D21" s="945"/>
      <c r="E21" s="949"/>
      <c r="F21" s="949" t="s">
        <v>240</v>
      </c>
      <c r="G21" s="1389"/>
      <c r="H21" s="1389"/>
      <c r="I21" s="1389"/>
      <c r="J21" s="1389"/>
      <c r="K21" s="1467"/>
      <c r="L21" s="1466"/>
      <c r="M21" s="1741"/>
      <c r="N21" s="941"/>
    </row>
    <row r="22" spans="1:14" s="942" customFormat="1" ht="24">
      <c r="A22" s="1463">
        <v>1.6</v>
      </c>
      <c r="B22" s="1202" t="s">
        <v>1183</v>
      </c>
      <c r="C22" s="1092"/>
      <c r="D22" s="945"/>
      <c r="E22" s="949"/>
      <c r="F22" s="949" t="s">
        <v>240</v>
      </c>
      <c r="G22" s="1389"/>
      <c r="H22" s="1389"/>
      <c r="I22" s="1389"/>
      <c r="J22" s="1389"/>
      <c r="K22" s="1467"/>
      <c r="L22" s="1466"/>
      <c r="M22" s="1741"/>
      <c r="N22" s="941"/>
    </row>
    <row r="23" spans="1:14" s="942" customFormat="1" ht="24">
      <c r="A23" s="1463">
        <v>1.7</v>
      </c>
      <c r="B23" s="1202" t="s">
        <v>386</v>
      </c>
      <c r="C23" s="1092"/>
      <c r="D23" s="945"/>
      <c r="E23" s="949"/>
      <c r="F23" s="949" t="s">
        <v>240</v>
      </c>
      <c r="G23" s="1389"/>
      <c r="H23" s="1389"/>
      <c r="I23" s="1389"/>
      <c r="J23" s="1389"/>
      <c r="K23" s="1467"/>
      <c r="L23" s="1466"/>
      <c r="M23" s="1741"/>
      <c r="N23" s="941"/>
    </row>
    <row r="24" spans="1:14" s="942" customFormat="1" ht="24">
      <c r="A24" s="1463">
        <v>1.8</v>
      </c>
      <c r="B24" s="1202" t="s">
        <v>1184</v>
      </c>
      <c r="C24" s="1092"/>
      <c r="D24" s="945"/>
      <c r="E24" s="949"/>
      <c r="F24" s="949"/>
      <c r="G24" s="1389"/>
      <c r="H24" s="1389"/>
      <c r="I24" s="1389"/>
      <c r="J24" s="1389"/>
      <c r="K24" s="1467"/>
      <c r="L24" s="1466"/>
      <c r="M24" s="1741"/>
      <c r="N24" s="941"/>
    </row>
    <row r="25" spans="1:14" s="942" customFormat="1" ht="24">
      <c r="A25" s="1201"/>
      <c r="B25" s="1464" t="s">
        <v>1185</v>
      </c>
      <c r="C25" s="1092"/>
      <c r="D25" s="945"/>
      <c r="E25" s="949"/>
      <c r="F25" s="949" t="s">
        <v>104</v>
      </c>
      <c r="G25" s="1389"/>
      <c r="H25" s="1389"/>
      <c r="I25" s="1389"/>
      <c r="J25" s="1389"/>
      <c r="K25" s="1467"/>
      <c r="L25" s="1466"/>
      <c r="M25" s="1741"/>
      <c r="N25" s="941"/>
    </row>
    <row r="26" spans="1:14" s="942" customFormat="1" ht="24">
      <c r="A26" s="1201"/>
      <c r="B26" s="1464" t="s">
        <v>1186</v>
      </c>
      <c r="C26" s="1092"/>
      <c r="D26" s="945"/>
      <c r="E26" s="949"/>
      <c r="F26" s="949" t="s">
        <v>104</v>
      </c>
      <c r="G26" s="1389"/>
      <c r="H26" s="1389"/>
      <c r="I26" s="1389"/>
      <c r="J26" s="1389"/>
      <c r="K26" s="1467"/>
      <c r="L26" s="1466"/>
      <c r="M26" s="1741"/>
      <c r="N26" s="941"/>
    </row>
    <row r="27" spans="1:14" s="942" customFormat="1" ht="24">
      <c r="A27" s="1463">
        <v>1.9</v>
      </c>
      <c r="B27" s="1202" t="s">
        <v>1187</v>
      </c>
      <c r="C27" s="1092"/>
      <c r="D27" s="945"/>
      <c r="E27" s="949"/>
      <c r="F27" s="949"/>
      <c r="G27" s="1389"/>
      <c r="H27" s="1389"/>
      <c r="I27" s="1389"/>
      <c r="J27" s="1389"/>
      <c r="K27" s="1467"/>
      <c r="L27" s="1466"/>
      <c r="M27" s="1741"/>
      <c r="N27" s="941"/>
    </row>
    <row r="28" spans="1:14" s="942" customFormat="1" ht="24">
      <c r="A28" s="1201"/>
      <c r="B28" s="1464" t="s">
        <v>1188</v>
      </c>
      <c r="C28" s="1092"/>
      <c r="D28" s="945"/>
      <c r="E28" s="949"/>
      <c r="F28" s="949" t="s">
        <v>104</v>
      </c>
      <c r="G28" s="1389"/>
      <c r="H28" s="1389"/>
      <c r="I28" s="1389"/>
      <c r="J28" s="1389"/>
      <c r="K28" s="1467"/>
      <c r="L28" s="1466"/>
      <c r="M28" s="1741"/>
      <c r="N28" s="941"/>
    </row>
    <row r="29" spans="1:14" s="942" customFormat="1" ht="24">
      <c r="A29" s="1201"/>
      <c r="B29" s="1464" t="s">
        <v>1189</v>
      </c>
      <c r="C29" s="1092"/>
      <c r="D29" s="945"/>
      <c r="E29" s="949"/>
      <c r="F29" s="949" t="s">
        <v>104</v>
      </c>
      <c r="G29" s="1389"/>
      <c r="H29" s="1389"/>
      <c r="I29" s="1389"/>
      <c r="J29" s="1389"/>
      <c r="K29" s="1467"/>
      <c r="L29" s="1466"/>
      <c r="M29" s="1741"/>
      <c r="N29" s="941"/>
    </row>
    <row r="30" spans="1:14" s="942" customFormat="1" ht="24">
      <c r="A30" s="1468">
        <v>1.1000000000000001</v>
      </c>
      <c r="B30" s="1202" t="s">
        <v>1190</v>
      </c>
      <c r="C30" s="1092"/>
      <c r="D30" s="945"/>
      <c r="E30" s="949"/>
      <c r="F30" s="949" t="s">
        <v>1030</v>
      </c>
      <c r="G30" s="1389"/>
      <c r="H30" s="1389"/>
      <c r="I30" s="1389"/>
      <c r="J30" s="1389"/>
      <c r="K30" s="1467"/>
      <c r="L30" s="1466"/>
      <c r="M30" s="1741"/>
      <c r="N30" s="941"/>
    </row>
    <row r="31" spans="1:14" s="942" customFormat="1" ht="24">
      <c r="A31" s="1201"/>
      <c r="B31" s="944"/>
      <c r="C31" s="1092"/>
      <c r="D31" s="945"/>
      <c r="E31" s="949"/>
      <c r="F31" s="924"/>
      <c r="G31" s="1389"/>
      <c r="H31" s="1389"/>
      <c r="I31" s="1389"/>
      <c r="J31" s="1389"/>
      <c r="K31" s="926"/>
      <c r="L31" s="1466"/>
      <c r="M31" s="1741"/>
      <c r="N31" s="941"/>
    </row>
    <row r="32" spans="1:14" s="942" customFormat="1" ht="24">
      <c r="A32" s="1201">
        <v>2</v>
      </c>
      <c r="B32" s="1461" t="s">
        <v>1191</v>
      </c>
      <c r="C32" s="1092"/>
      <c r="D32" s="945"/>
      <c r="E32" s="949"/>
      <c r="F32" s="924"/>
      <c r="G32" s="1389"/>
      <c r="H32" s="1389"/>
      <c r="I32" s="1389"/>
      <c r="J32" s="1389"/>
      <c r="K32" s="926"/>
      <c r="L32" s="1466"/>
      <c r="M32" s="1741"/>
      <c r="N32" s="941"/>
    </row>
    <row r="33" spans="1:14" s="942" customFormat="1" ht="24">
      <c r="A33" s="1463">
        <v>2.1</v>
      </c>
      <c r="B33" s="1202" t="s">
        <v>374</v>
      </c>
      <c r="C33" s="1092"/>
      <c r="D33" s="1228"/>
      <c r="E33" s="949"/>
      <c r="F33" s="924" t="s">
        <v>240</v>
      </c>
      <c r="G33" s="1389"/>
      <c r="H33" s="1389"/>
      <c r="I33" s="1389"/>
      <c r="J33" s="1389"/>
      <c r="K33" s="1467"/>
      <c r="L33" s="1466"/>
      <c r="M33" s="1741"/>
      <c r="N33" s="941"/>
    </row>
    <row r="34" spans="1:14" s="942" customFormat="1" ht="24">
      <c r="A34" s="1462">
        <v>2.2000000000000002</v>
      </c>
      <c r="B34" s="1202" t="s">
        <v>376</v>
      </c>
      <c r="C34" s="1092"/>
      <c r="D34" s="1228"/>
      <c r="E34" s="949"/>
      <c r="F34" s="924" t="s">
        <v>240</v>
      </c>
      <c r="G34" s="1389"/>
      <c r="H34" s="1389"/>
      <c r="I34" s="1389"/>
      <c r="J34" s="1389"/>
      <c r="K34" s="1467"/>
      <c r="L34" s="1466"/>
      <c r="M34" s="1741"/>
      <c r="N34" s="941"/>
    </row>
    <row r="35" spans="1:14" s="942" customFormat="1" ht="24">
      <c r="A35" s="1463">
        <v>2.2999999999999998</v>
      </c>
      <c r="B35" s="1202" t="s">
        <v>378</v>
      </c>
      <c r="C35" s="1092"/>
      <c r="D35" s="1228"/>
      <c r="E35" s="949"/>
      <c r="F35" s="924" t="s">
        <v>240</v>
      </c>
      <c r="G35" s="1389"/>
      <c r="H35" s="1389"/>
      <c r="I35" s="1389"/>
      <c r="J35" s="1389"/>
      <c r="K35" s="1467"/>
      <c r="L35" s="1466"/>
      <c r="M35" s="1741"/>
      <c r="N35" s="941"/>
    </row>
    <row r="36" spans="1:14" s="942" customFormat="1" ht="24">
      <c r="A36" s="1462">
        <v>2.4</v>
      </c>
      <c r="B36" s="1202" t="s">
        <v>380</v>
      </c>
      <c r="C36" s="1092"/>
      <c r="D36" s="1228"/>
      <c r="E36" s="949"/>
      <c r="F36" s="924" t="s">
        <v>240</v>
      </c>
      <c r="G36" s="1389"/>
      <c r="H36" s="1389"/>
      <c r="I36" s="1389"/>
      <c r="J36" s="1389"/>
      <c r="K36" s="1467"/>
      <c r="L36" s="1466"/>
      <c r="M36" s="1741"/>
      <c r="N36" s="941"/>
    </row>
    <row r="37" spans="1:14" s="942" customFormat="1" ht="24">
      <c r="A37" s="1463">
        <v>2.5</v>
      </c>
      <c r="B37" s="1202" t="s">
        <v>382</v>
      </c>
      <c r="C37" s="1092"/>
      <c r="D37" s="1228"/>
      <c r="E37" s="949"/>
      <c r="F37" s="924" t="s">
        <v>240</v>
      </c>
      <c r="G37" s="1389"/>
      <c r="H37" s="1389"/>
      <c r="I37" s="1389"/>
      <c r="J37" s="1389"/>
      <c r="K37" s="1467"/>
      <c r="L37" s="1466"/>
      <c r="M37" s="1741"/>
      <c r="N37" s="941"/>
    </row>
    <row r="38" spans="1:14" s="942" customFormat="1" ht="24">
      <c r="A38" s="1462">
        <v>2.6</v>
      </c>
      <c r="B38" s="1202" t="s">
        <v>1183</v>
      </c>
      <c r="C38" s="1092"/>
      <c r="D38" s="1228"/>
      <c r="E38" s="949"/>
      <c r="F38" s="924" t="s">
        <v>240</v>
      </c>
      <c r="G38" s="1389"/>
      <c r="H38" s="1389"/>
      <c r="I38" s="1389"/>
      <c r="J38" s="1389"/>
      <c r="K38" s="1467"/>
      <c r="L38" s="1466"/>
      <c r="M38" s="1741"/>
      <c r="N38" s="941"/>
    </row>
    <row r="39" spans="1:14" s="942" customFormat="1" ht="24">
      <c r="A39" s="1463">
        <v>2.7</v>
      </c>
      <c r="B39" s="1202" t="s">
        <v>386</v>
      </c>
      <c r="C39" s="1092"/>
      <c r="D39" s="1228"/>
      <c r="E39" s="949"/>
      <c r="F39" s="924" t="s">
        <v>240</v>
      </c>
      <c r="G39" s="1389"/>
      <c r="H39" s="1389"/>
      <c r="I39" s="1389"/>
      <c r="J39" s="1389"/>
      <c r="K39" s="1467"/>
      <c r="L39" s="1466"/>
      <c r="M39" s="1741"/>
      <c r="N39" s="941"/>
    </row>
    <row r="40" spans="1:14" s="942" customFormat="1" ht="24">
      <c r="A40" s="1462">
        <v>2.8</v>
      </c>
      <c r="B40" s="1202" t="s">
        <v>1184</v>
      </c>
      <c r="C40" s="1092"/>
      <c r="D40" s="1228"/>
      <c r="E40" s="949"/>
      <c r="F40" s="924"/>
      <c r="G40" s="1389"/>
      <c r="H40" s="1389"/>
      <c r="I40" s="1389"/>
      <c r="J40" s="1389"/>
      <c r="K40" s="926"/>
      <c r="L40" s="1466"/>
      <c r="M40" s="1741"/>
      <c r="N40" s="941"/>
    </row>
    <row r="41" spans="1:14" s="942" customFormat="1" ht="24">
      <c r="A41" s="1201"/>
      <c r="B41" s="1464" t="s">
        <v>1185</v>
      </c>
      <c r="C41" s="1092"/>
      <c r="D41" s="1228"/>
      <c r="E41" s="949"/>
      <c r="F41" s="924" t="s">
        <v>104</v>
      </c>
      <c r="G41" s="1389"/>
      <c r="H41" s="1389"/>
      <c r="I41" s="1389"/>
      <c r="J41" s="1389"/>
      <c r="K41" s="1467"/>
      <c r="L41" s="1466"/>
      <c r="M41" s="1741"/>
      <c r="N41" s="941"/>
    </row>
    <row r="42" spans="1:14" s="942" customFormat="1" ht="24">
      <c r="A42" s="1201"/>
      <c r="B42" s="1464" t="s">
        <v>1186</v>
      </c>
      <c r="C42" s="1092"/>
      <c r="D42" s="1228"/>
      <c r="E42" s="949"/>
      <c r="F42" s="924" t="s">
        <v>104</v>
      </c>
      <c r="G42" s="1389"/>
      <c r="H42" s="1389"/>
      <c r="I42" s="1389"/>
      <c r="J42" s="1389"/>
      <c r="K42" s="1467"/>
      <c r="L42" s="1466"/>
      <c r="M42" s="1741"/>
      <c r="N42" s="941"/>
    </row>
    <row r="43" spans="1:14" s="942" customFormat="1" ht="24">
      <c r="A43" s="1462">
        <v>2.9</v>
      </c>
      <c r="B43" s="1202" t="s">
        <v>1192</v>
      </c>
      <c r="C43" s="1092"/>
      <c r="D43" s="1228"/>
      <c r="E43" s="949"/>
      <c r="F43" s="924"/>
      <c r="G43" s="1389"/>
      <c r="H43" s="1389"/>
      <c r="I43" s="1389"/>
      <c r="J43" s="1389"/>
      <c r="K43" s="926"/>
      <c r="L43" s="1466"/>
      <c r="M43" s="1741"/>
      <c r="N43" s="941"/>
    </row>
    <row r="44" spans="1:14" s="942" customFormat="1" ht="24">
      <c r="A44" s="1201"/>
      <c r="B44" s="1464" t="s">
        <v>1188</v>
      </c>
      <c r="C44" s="1092"/>
      <c r="D44" s="1228"/>
      <c r="E44" s="949"/>
      <c r="F44" s="924" t="s">
        <v>104</v>
      </c>
      <c r="G44" s="1389"/>
      <c r="H44" s="1389"/>
      <c r="I44" s="1389"/>
      <c r="J44" s="1389"/>
      <c r="K44" s="1467"/>
      <c r="L44" s="1466"/>
      <c r="M44" s="1741"/>
      <c r="N44" s="941"/>
    </row>
    <row r="45" spans="1:14" s="942" customFormat="1" ht="24">
      <c r="A45" s="1201"/>
      <c r="B45" s="1464" t="s">
        <v>1193</v>
      </c>
      <c r="C45" s="1092"/>
      <c r="D45" s="1228"/>
      <c r="E45" s="949"/>
      <c r="F45" s="924" t="s">
        <v>104</v>
      </c>
      <c r="G45" s="1389"/>
      <c r="H45" s="1389"/>
      <c r="I45" s="1389"/>
      <c r="J45" s="1389"/>
      <c r="K45" s="1467"/>
      <c r="L45" s="1466"/>
      <c r="M45" s="1741"/>
      <c r="N45" s="941"/>
    </row>
    <row r="46" spans="1:14" s="942" customFormat="1" ht="24">
      <c r="A46" s="1465">
        <v>2.1</v>
      </c>
      <c r="B46" s="1202" t="s">
        <v>1190</v>
      </c>
      <c r="C46" s="1092"/>
      <c r="D46" s="1228"/>
      <c r="E46" s="949"/>
      <c r="F46" s="924" t="s">
        <v>1030</v>
      </c>
      <c r="G46" s="1389"/>
      <c r="H46" s="1389"/>
      <c r="I46" s="1389"/>
      <c r="J46" s="1389"/>
      <c r="K46" s="1467"/>
      <c r="L46" s="1466"/>
      <c r="M46" s="1741"/>
      <c r="N46" s="941"/>
    </row>
    <row r="47" spans="1:14" s="942" customFormat="1" ht="24">
      <c r="A47" s="1465"/>
      <c r="B47" s="1202"/>
      <c r="C47" s="1092"/>
      <c r="D47" s="1228"/>
      <c r="E47" s="949"/>
      <c r="F47" s="924"/>
      <c r="G47" s="1389"/>
      <c r="H47" s="1389"/>
      <c r="I47" s="1389"/>
      <c r="J47" s="1389"/>
      <c r="K47" s="1467"/>
      <c r="L47" s="1466"/>
      <c r="M47" s="1741"/>
      <c r="N47" s="941"/>
    </row>
    <row r="48" spans="1:14" s="942" customFormat="1" ht="24">
      <c r="A48" s="1201">
        <v>3</v>
      </c>
      <c r="B48" s="1460" t="s">
        <v>1194</v>
      </c>
      <c r="C48" s="1092"/>
      <c r="D48" s="945"/>
      <c r="E48" s="949"/>
      <c r="F48" s="924"/>
      <c r="G48" s="1389"/>
      <c r="H48" s="1389"/>
      <c r="I48" s="1389"/>
      <c r="J48" s="1389"/>
      <c r="K48" s="926"/>
      <c r="L48" s="1466"/>
      <c r="M48" s="1741"/>
      <c r="N48" s="941"/>
    </row>
    <row r="49" spans="1:21" s="942" customFormat="1" ht="24">
      <c r="A49" s="1463">
        <v>3.1</v>
      </c>
      <c r="B49" s="1202" t="s">
        <v>1184</v>
      </c>
      <c r="C49" s="1092"/>
      <c r="D49" s="1228"/>
      <c r="E49" s="949"/>
      <c r="F49" s="924"/>
      <c r="G49" s="1389"/>
      <c r="H49" s="1389"/>
      <c r="I49" s="1389"/>
      <c r="J49" s="1389"/>
      <c r="K49" s="926"/>
      <c r="L49" s="1466"/>
      <c r="M49" s="1741"/>
      <c r="N49" s="941"/>
    </row>
    <row r="50" spans="1:21" s="942" customFormat="1" ht="24">
      <c r="A50" s="1201"/>
      <c r="B50" s="1464" t="s">
        <v>1195</v>
      </c>
      <c r="C50" s="1092"/>
      <c r="D50" s="1228"/>
      <c r="E50" s="949"/>
      <c r="F50" s="924" t="s">
        <v>104</v>
      </c>
      <c r="G50" s="1389"/>
      <c r="H50" s="1389"/>
      <c r="I50" s="1389"/>
      <c r="J50" s="1389"/>
      <c r="K50" s="1467"/>
      <c r="L50" s="1466"/>
      <c r="M50" s="1741"/>
      <c r="N50" s="941"/>
    </row>
    <row r="51" spans="1:21" s="942" customFormat="1" ht="24">
      <c r="A51" s="1201"/>
      <c r="B51" s="1464" t="s">
        <v>1196</v>
      </c>
      <c r="C51" s="1092"/>
      <c r="D51" s="1228"/>
      <c r="E51" s="949"/>
      <c r="F51" s="924" t="s">
        <v>104</v>
      </c>
      <c r="G51" s="1389"/>
      <c r="H51" s="1389"/>
      <c r="I51" s="1389"/>
      <c r="J51" s="1389"/>
      <c r="K51" s="1467"/>
      <c r="L51" s="1466"/>
      <c r="M51" s="1741"/>
      <c r="N51" s="941"/>
    </row>
    <row r="52" spans="1:21" s="942" customFormat="1" ht="24">
      <c r="A52" s="1463">
        <v>3.2</v>
      </c>
      <c r="B52" s="1202" t="s">
        <v>1197</v>
      </c>
      <c r="C52" s="1092"/>
      <c r="D52" s="1228"/>
      <c r="E52" s="949"/>
      <c r="F52" s="924"/>
      <c r="G52" s="1389"/>
      <c r="H52" s="1389"/>
      <c r="I52" s="1389"/>
      <c r="J52" s="1389"/>
      <c r="K52" s="926"/>
      <c r="L52" s="1466"/>
      <c r="M52" s="1741"/>
      <c r="N52" s="941"/>
    </row>
    <row r="53" spans="1:21" s="942" customFormat="1" ht="24">
      <c r="A53" s="1463">
        <v>3.3</v>
      </c>
      <c r="B53" s="1464" t="s">
        <v>1198</v>
      </c>
      <c r="C53" s="1092"/>
      <c r="D53" s="1228"/>
      <c r="E53" s="949"/>
      <c r="F53" s="924" t="s">
        <v>240</v>
      </c>
      <c r="G53" s="1389"/>
      <c r="H53" s="1389"/>
      <c r="I53" s="1389"/>
      <c r="J53" s="1389"/>
      <c r="K53" s="1467"/>
      <c r="L53" s="1466"/>
      <c r="M53" s="1741"/>
      <c r="N53" s="941"/>
    </row>
    <row r="54" spans="1:21" s="942" customFormat="1" ht="24">
      <c r="A54" s="1201"/>
      <c r="B54" s="1464" t="s">
        <v>1199</v>
      </c>
      <c r="C54" s="1092"/>
      <c r="D54" s="1228"/>
      <c r="E54" s="949"/>
      <c r="F54" s="924" t="s">
        <v>240</v>
      </c>
      <c r="G54" s="1389"/>
      <c r="H54" s="1389"/>
      <c r="I54" s="1389"/>
      <c r="J54" s="1389"/>
      <c r="K54" s="1467"/>
      <c r="L54" s="1466"/>
      <c r="M54" s="1741"/>
      <c r="N54" s="941"/>
    </row>
    <row r="55" spans="1:21" s="942" customFormat="1" ht="24">
      <c r="A55" s="1463">
        <v>3.4</v>
      </c>
      <c r="B55" s="1202" t="s">
        <v>1187</v>
      </c>
      <c r="C55" s="1092"/>
      <c r="D55" s="1228"/>
      <c r="E55" s="949"/>
      <c r="F55" s="924"/>
      <c r="G55" s="1389"/>
      <c r="H55" s="1389"/>
      <c r="I55" s="1389"/>
      <c r="J55" s="1389"/>
      <c r="K55" s="926"/>
      <c r="L55" s="1466"/>
      <c r="M55" s="1741"/>
      <c r="N55" s="941"/>
    </row>
    <row r="56" spans="1:21" s="942" customFormat="1" ht="24">
      <c r="A56" s="1201"/>
      <c r="B56" s="1464" t="s">
        <v>1200</v>
      </c>
      <c r="C56" s="1092"/>
      <c r="D56" s="1228"/>
      <c r="E56" s="949"/>
      <c r="F56" s="924" t="s">
        <v>104</v>
      </c>
      <c r="G56" s="1389"/>
      <c r="H56" s="1389"/>
      <c r="I56" s="1389"/>
      <c r="J56" s="1389"/>
      <c r="K56" s="1467"/>
      <c r="L56" s="1466"/>
      <c r="M56" s="1741"/>
      <c r="N56" s="941"/>
    </row>
    <row r="57" spans="1:21" s="942" customFormat="1" ht="24">
      <c r="A57" s="1201"/>
      <c r="B57" s="1464" t="s">
        <v>1193</v>
      </c>
      <c r="C57" s="1092"/>
      <c r="D57" s="1228"/>
      <c r="E57" s="949"/>
      <c r="F57" s="924" t="s">
        <v>104</v>
      </c>
      <c r="G57" s="1389"/>
      <c r="H57" s="1389"/>
      <c r="I57" s="1389"/>
      <c r="J57" s="1389"/>
      <c r="K57" s="1467"/>
      <c r="L57" s="1466"/>
      <c r="M57" s="1741"/>
      <c r="N57" s="941"/>
    </row>
    <row r="58" spans="1:21" s="942" customFormat="1" ht="24">
      <c r="A58" s="1201"/>
      <c r="B58" s="1464" t="s">
        <v>1201</v>
      </c>
      <c r="C58" s="1092"/>
      <c r="D58" s="1228"/>
      <c r="E58" s="949"/>
      <c r="F58" s="924" t="s">
        <v>240</v>
      </c>
      <c r="G58" s="1389"/>
      <c r="H58" s="1389"/>
      <c r="I58" s="1389"/>
      <c r="J58" s="1389"/>
      <c r="K58" s="1467"/>
      <c r="L58" s="1466"/>
      <c r="M58" s="1741"/>
      <c r="N58" s="941"/>
    </row>
    <row r="59" spans="1:21" s="942" customFormat="1" ht="24">
      <c r="A59" s="1463">
        <v>3.5</v>
      </c>
      <c r="B59" s="1202" t="s">
        <v>1190</v>
      </c>
      <c r="C59" s="1092"/>
      <c r="D59" s="1228"/>
      <c r="E59" s="949"/>
      <c r="F59" s="924" t="s">
        <v>1030</v>
      </c>
      <c r="G59" s="1389"/>
      <c r="H59" s="1389"/>
      <c r="I59" s="1389"/>
      <c r="J59" s="1389"/>
      <c r="K59" s="1467"/>
      <c r="L59" s="1466"/>
      <c r="M59" s="1741"/>
      <c r="N59" s="941"/>
    </row>
    <row r="60" spans="1:21" s="10" customFormat="1" ht="21" customHeight="1">
      <c r="A60" s="1390"/>
      <c r="B60" s="1391"/>
      <c r="C60" s="1392"/>
      <c r="D60" s="1393"/>
      <c r="E60" s="1394"/>
      <c r="F60" s="1395"/>
      <c r="G60" s="1396"/>
      <c r="H60" s="1396"/>
      <c r="I60" s="1397"/>
      <c r="J60" s="1398"/>
      <c r="K60" s="1399"/>
      <c r="L60" s="1469"/>
      <c r="M60" s="940"/>
      <c r="N60" s="941"/>
      <c r="O60" s="942"/>
      <c r="P60" s="1400"/>
      <c r="Q60" s="1401"/>
      <c r="R60" s="1400"/>
      <c r="S60" s="1402"/>
      <c r="T60" s="1403"/>
      <c r="U60" s="11"/>
    </row>
    <row r="61" spans="1:21" s="151" customFormat="1" ht="21" customHeight="1">
      <c r="A61" s="1409"/>
      <c r="B61" s="1410"/>
      <c r="C61" s="1404"/>
      <c r="D61" s="1411"/>
      <c r="E61" s="1412"/>
      <c r="F61" s="1413"/>
      <c r="G61" s="1414"/>
      <c r="H61" s="1414"/>
      <c r="I61" s="1414"/>
      <c r="J61" s="1414"/>
      <c r="K61" s="1414"/>
      <c r="L61" s="1470"/>
      <c r="M61" s="1741"/>
      <c r="N61" s="941"/>
      <c r="O61" s="942"/>
      <c r="P61" s="1405"/>
      <c r="Q61" s="1406"/>
      <c r="R61" s="1405"/>
      <c r="S61" s="1407"/>
      <c r="T61" s="1408"/>
      <c r="U61" s="152"/>
    </row>
    <row r="62" spans="1:21" s="151" customFormat="1" ht="21" customHeight="1">
      <c r="A62" s="1415"/>
      <c r="B62" s="1416"/>
      <c r="C62" s="1417"/>
      <c r="D62" s="1418"/>
      <c r="E62" s="1806" t="s">
        <v>915</v>
      </c>
      <c r="F62" s="1807"/>
      <c r="G62" s="1808"/>
      <c r="H62" s="1414"/>
      <c r="I62" s="1414"/>
      <c r="J62" s="1414"/>
      <c r="K62" s="1414"/>
      <c r="L62" s="1471" t="s">
        <v>14</v>
      </c>
      <c r="M62" s="1741"/>
      <c r="N62" s="941"/>
      <c r="O62" s="942"/>
      <c r="P62" s="1405"/>
      <c r="Q62" s="1406"/>
      <c r="R62" s="1405"/>
      <c r="S62" s="1407"/>
      <c r="T62" s="1408"/>
      <c r="U62" s="152"/>
    </row>
    <row r="63" spans="1:21" s="946" customFormat="1" ht="32.25" customHeight="1">
      <c r="A63" s="951"/>
      <c r="B63" s="951"/>
      <c r="C63" s="951"/>
      <c r="D63" s="951"/>
      <c r="E63" s="1419"/>
      <c r="F63" s="1420"/>
      <c r="G63" s="1421"/>
      <c r="H63" s="1421"/>
      <c r="I63" s="1421"/>
      <c r="J63" s="1421"/>
      <c r="K63" s="1422"/>
      <c r="L63" s="1422"/>
      <c r="M63" s="952"/>
      <c r="N63" s="953"/>
      <c r="Q63" s="1155"/>
    </row>
    <row r="64" spans="1:21" s="946" customFormat="1" ht="32.25" customHeight="1">
      <c r="A64" s="951"/>
      <c r="B64" s="951"/>
      <c r="C64" s="951"/>
      <c r="D64" s="951"/>
      <c r="E64" s="951"/>
      <c r="F64" s="1421"/>
      <c r="G64" s="1421"/>
      <c r="H64" s="1421"/>
      <c r="I64" s="1421"/>
      <c r="J64" s="1421"/>
      <c r="K64" s="1422"/>
      <c r="L64" s="1422"/>
      <c r="M64" s="952"/>
      <c r="N64" s="953"/>
    </row>
    <row r="65" spans="1:22" s="946" customFormat="1" ht="21.75">
      <c r="C65" s="942"/>
      <c r="D65" s="1093"/>
      <c r="F65" s="1423"/>
      <c r="G65" s="1424"/>
      <c r="H65" s="1425"/>
      <c r="I65" s="1424"/>
      <c r="J65" s="1425"/>
      <c r="K65" s="1426"/>
      <c r="L65" s="1426"/>
      <c r="M65" s="1203"/>
    </row>
    <row r="66" spans="1:22" s="946" customFormat="1" ht="21.75">
      <c r="C66" s="942"/>
      <c r="D66" s="1093"/>
      <c r="F66" s="1423"/>
      <c r="G66" s="1424"/>
      <c r="H66" s="1425"/>
      <c r="I66" s="1424"/>
      <c r="J66" s="1425"/>
      <c r="K66" s="1426"/>
      <c r="L66" s="1426"/>
      <c r="M66" s="1203"/>
    </row>
    <row r="67" spans="1:22" s="946" customFormat="1" ht="21.75">
      <c r="C67" s="942"/>
      <c r="D67" s="1093"/>
      <c r="F67" s="1423"/>
      <c r="G67" s="1424"/>
      <c r="H67" s="1425"/>
      <c r="I67" s="1424"/>
      <c r="J67" s="1425"/>
      <c r="K67" s="1426"/>
      <c r="L67" s="1426"/>
      <c r="M67" s="1203"/>
      <c r="Q67" s="1204"/>
    </row>
    <row r="68" spans="1:22">
      <c r="F68" s="1427"/>
    </row>
    <row r="69" spans="1:22">
      <c r="F69" s="1427"/>
    </row>
    <row r="70" spans="1:22">
      <c r="F70" s="1427"/>
    </row>
    <row r="71" spans="1:22">
      <c r="F71" s="1427"/>
    </row>
    <row r="72" spans="1:22">
      <c r="F72" s="1427"/>
    </row>
    <row r="73" spans="1:22">
      <c r="F73" s="1427"/>
    </row>
    <row r="74" spans="1:22">
      <c r="F74" s="1427"/>
    </row>
    <row r="75" spans="1:22" s="1428" customFormat="1">
      <c r="A75" s="549"/>
      <c r="B75" s="549"/>
      <c r="C75" s="551"/>
      <c r="D75" s="954"/>
      <c r="E75" s="549"/>
      <c r="F75" s="1427"/>
      <c r="H75" s="1429"/>
      <c r="J75" s="1429"/>
      <c r="K75" s="1430"/>
      <c r="L75" s="1430"/>
      <c r="M75" s="936"/>
      <c r="N75" s="549"/>
      <c r="O75" s="549"/>
      <c r="P75" s="549"/>
      <c r="Q75" s="549"/>
      <c r="R75" s="549"/>
      <c r="S75" s="549"/>
      <c r="T75" s="549"/>
      <c r="U75" s="549"/>
      <c r="V75" s="549"/>
    </row>
    <row r="76" spans="1:22" s="1428" customFormat="1">
      <c r="A76" s="549"/>
      <c r="B76" s="549"/>
      <c r="C76" s="551"/>
      <c r="D76" s="954"/>
      <c r="E76" s="549"/>
      <c r="F76" s="1427"/>
      <c r="H76" s="1429"/>
      <c r="J76" s="1429"/>
      <c r="K76" s="1430"/>
      <c r="L76" s="1430"/>
      <c r="M76" s="936"/>
      <c r="N76" s="549"/>
      <c r="O76" s="549"/>
      <c r="P76" s="549"/>
      <c r="Q76" s="549"/>
      <c r="R76" s="549"/>
      <c r="S76" s="549"/>
      <c r="T76" s="549"/>
      <c r="U76" s="549"/>
      <c r="V76" s="549"/>
    </row>
  </sheetData>
  <mergeCells count="17">
    <mergeCell ref="M61:M62"/>
    <mergeCell ref="E62:G62"/>
    <mergeCell ref="I7:J7"/>
    <mergeCell ref="K7:K8"/>
    <mergeCell ref="L7:L8"/>
    <mergeCell ref="M7:M9"/>
    <mergeCell ref="M16:M59"/>
    <mergeCell ref="A1:K1"/>
    <mergeCell ref="A2:K2"/>
    <mergeCell ref="A3:K3"/>
    <mergeCell ref="U4:U5"/>
    <mergeCell ref="N6:U6"/>
    <mergeCell ref="A7:A9"/>
    <mergeCell ref="B7:D9"/>
    <mergeCell ref="E7:E9"/>
    <mergeCell ref="F7:F9"/>
    <mergeCell ref="G7:H7"/>
  </mergeCells>
  <printOptions horizontalCentered="1"/>
  <pageMargins left="0.6" right="0.2" top="0.5" bottom="0.5" header="0.3" footer="0.3"/>
  <pageSetup paperSize="9" scale="68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6EB3D-F56D-4126-A462-53B8A00ED890}">
  <sheetPr>
    <tabColor rgb="FF92D050"/>
    <pageSetUpPr fitToPage="1"/>
  </sheetPr>
  <dimension ref="A1:V261"/>
  <sheetViews>
    <sheetView view="pageBreakPreview" topLeftCell="A241" zoomScale="85" zoomScaleNormal="70" zoomScaleSheetLayoutView="85" workbookViewId="0">
      <selection activeCell="G249" sqref="G249"/>
    </sheetView>
  </sheetViews>
  <sheetFormatPr defaultColWidth="9.140625" defaultRowHeight="18.75" outlineLevelCol="1"/>
  <cols>
    <col min="1" max="1" width="10.85546875" style="549" customWidth="1"/>
    <col min="2" max="2" width="7.140625" style="549" customWidth="1"/>
    <col min="3" max="3" width="8" style="551" customWidth="1"/>
    <col min="4" max="4" width="42.5703125" style="954" customWidth="1"/>
    <col min="5" max="5" width="12.140625" style="549" customWidth="1"/>
    <col min="6" max="6" width="14.5703125" style="1428" bestFit="1" customWidth="1"/>
    <col min="7" max="7" width="15.28515625" style="1428" customWidth="1" outlineLevel="1"/>
    <col min="8" max="8" width="20" style="1429" customWidth="1" outlineLevel="1"/>
    <col min="9" max="9" width="15.28515625" style="1428" customWidth="1" outlineLevel="1"/>
    <col min="10" max="10" width="17.5703125" style="1429" customWidth="1" outlineLevel="1"/>
    <col min="11" max="11" width="21.5703125" style="1430" customWidth="1"/>
    <col min="12" max="12" width="18.42578125" style="1430" customWidth="1"/>
    <col min="13" max="13" width="19.28515625" style="936" customWidth="1"/>
    <col min="14" max="14" width="12.140625" style="549" customWidth="1"/>
    <col min="15" max="15" width="9.140625" style="549"/>
    <col min="16" max="17" width="11.28515625" style="549" customWidth="1"/>
    <col min="18" max="18" width="14.28515625" style="549" customWidth="1"/>
    <col min="19" max="16384" width="9.140625" style="549"/>
  </cols>
  <sheetData>
    <row r="1" spans="1:22" ht="34.5" hidden="1" customHeight="1">
      <c r="A1" s="1742" t="s">
        <v>0</v>
      </c>
      <c r="B1" s="1743"/>
      <c r="C1" s="1743"/>
      <c r="D1" s="1743"/>
      <c r="E1" s="1743"/>
      <c r="F1" s="1743"/>
      <c r="G1" s="1743"/>
      <c r="H1" s="1743"/>
      <c r="I1" s="1743"/>
      <c r="J1" s="1743"/>
      <c r="K1" s="1744"/>
      <c r="L1" s="1086"/>
    </row>
    <row r="2" spans="1:22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1087"/>
      <c r="M2" s="937"/>
      <c r="N2" s="152"/>
      <c r="O2" s="152"/>
      <c r="P2" s="11"/>
      <c r="Q2" s="11"/>
      <c r="R2" s="11"/>
      <c r="S2" s="11"/>
      <c r="T2" s="11"/>
      <c r="U2" s="11"/>
      <c r="V2" s="11"/>
    </row>
    <row r="3" spans="1:22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574"/>
      <c r="M3" s="937"/>
      <c r="N3" s="152"/>
      <c r="O3" s="152"/>
      <c r="P3" s="11"/>
      <c r="Q3" s="11"/>
      <c r="R3" s="11"/>
      <c r="S3" s="11"/>
      <c r="T3" s="11"/>
      <c r="U3" s="11"/>
      <c r="V3" s="11"/>
    </row>
    <row r="4" spans="1:22" s="10" customFormat="1" ht="26.25" customHeight="1">
      <c r="A4" s="153" t="s">
        <v>1</v>
      </c>
      <c r="B4" s="89"/>
      <c r="C4" s="90"/>
      <c r="D4" s="89" t="s">
        <v>1202</v>
      </c>
      <c r="E4" s="91"/>
      <c r="F4" s="42"/>
      <c r="G4" s="42"/>
      <c r="H4" s="41"/>
      <c r="I4" s="43" t="s">
        <v>108</v>
      </c>
      <c r="J4" s="44"/>
      <c r="K4" s="1381"/>
      <c r="L4" s="45"/>
      <c r="M4" s="937"/>
      <c r="N4" s="152"/>
      <c r="O4" s="152"/>
      <c r="P4" s="11"/>
      <c r="Q4" s="11"/>
      <c r="R4" s="11"/>
      <c r="S4" s="11"/>
      <c r="T4" s="11"/>
      <c r="U4" s="1669"/>
      <c r="V4" s="11"/>
    </row>
    <row r="5" spans="1:22" s="10" customFormat="1" ht="27" customHeight="1">
      <c r="A5" s="155" t="s">
        <v>109</v>
      </c>
      <c r="B5" s="94"/>
      <c r="C5" s="95"/>
      <c r="D5" s="89" t="s">
        <v>27</v>
      </c>
      <c r="E5" s="96"/>
      <c r="F5" s="50"/>
      <c r="G5" s="50"/>
      <c r="H5" s="49"/>
      <c r="I5" s="43" t="s">
        <v>111</v>
      </c>
      <c r="J5" s="44"/>
      <c r="K5" s="1381"/>
      <c r="L5" s="45"/>
      <c r="M5" s="937"/>
      <c r="N5" s="152"/>
      <c r="O5" s="152"/>
      <c r="P5" s="11"/>
      <c r="Q5" s="11"/>
      <c r="R5" s="11"/>
      <c r="S5" s="11"/>
      <c r="T5" s="11"/>
      <c r="U5" s="1669"/>
      <c r="V5" s="11"/>
    </row>
    <row r="6" spans="1:22" s="10" customFormat="1" ht="27" thickBot="1">
      <c r="A6" s="156" t="s">
        <v>3</v>
      </c>
      <c r="B6" s="101"/>
      <c r="C6" s="102"/>
      <c r="D6" s="101" t="s">
        <v>883</v>
      </c>
      <c r="E6" s="103"/>
      <c r="F6" s="55"/>
      <c r="G6" s="55"/>
      <c r="H6" s="54"/>
      <c r="I6" s="56" t="s">
        <v>113</v>
      </c>
      <c r="J6" s="57"/>
      <c r="K6" s="1382"/>
      <c r="L6" s="58"/>
      <c r="M6" s="937"/>
      <c r="N6" s="1670"/>
      <c r="O6" s="1670"/>
      <c r="P6" s="1670"/>
      <c r="Q6" s="1670"/>
      <c r="R6" s="1670"/>
      <c r="S6" s="1670"/>
      <c r="T6" s="1670"/>
      <c r="U6" s="1670"/>
      <c r="V6" s="11"/>
    </row>
    <row r="7" spans="1:22" s="942" customFormat="1" ht="23.25">
      <c r="A7" s="1718" t="s">
        <v>6</v>
      </c>
      <c r="B7" s="1721" t="s">
        <v>7</v>
      </c>
      <c r="C7" s="1722"/>
      <c r="D7" s="1723"/>
      <c r="E7" s="1730" t="s">
        <v>576</v>
      </c>
      <c r="F7" s="1802" t="s">
        <v>1178</v>
      </c>
      <c r="G7" s="1805" t="s">
        <v>10</v>
      </c>
      <c r="H7" s="1805"/>
      <c r="I7" s="1805" t="s">
        <v>11</v>
      </c>
      <c r="J7" s="1805"/>
      <c r="K7" s="1809" t="s">
        <v>13</v>
      </c>
      <c r="L7" s="1811" t="s">
        <v>931</v>
      </c>
      <c r="M7" s="1741"/>
      <c r="N7" s="941"/>
    </row>
    <row r="8" spans="1:22" s="942" customFormat="1" ht="23.25">
      <c r="A8" s="1719"/>
      <c r="B8" s="1724"/>
      <c r="C8" s="1725"/>
      <c r="D8" s="1726"/>
      <c r="E8" s="1731"/>
      <c r="F8" s="1803"/>
      <c r="G8" s="1383" t="s">
        <v>9</v>
      </c>
      <c r="H8" s="1384" t="s">
        <v>13</v>
      </c>
      <c r="I8" s="1383" t="s">
        <v>9</v>
      </c>
      <c r="J8" s="1384" t="s">
        <v>13</v>
      </c>
      <c r="K8" s="1810"/>
      <c r="L8" s="1812"/>
      <c r="M8" s="1741"/>
      <c r="N8" s="941"/>
    </row>
    <row r="9" spans="1:22" s="942" customFormat="1" ht="24" thickBot="1">
      <c r="A9" s="1720"/>
      <c r="B9" s="1727"/>
      <c r="C9" s="1728"/>
      <c r="D9" s="1729"/>
      <c r="E9" s="1732"/>
      <c r="F9" s="1804"/>
      <c r="G9" s="1386" t="s">
        <v>115</v>
      </c>
      <c r="H9" s="1387" t="s">
        <v>14</v>
      </c>
      <c r="I9" s="1386" t="s">
        <v>115</v>
      </c>
      <c r="J9" s="1387" t="s">
        <v>14</v>
      </c>
      <c r="K9" s="1387" t="s">
        <v>14</v>
      </c>
      <c r="L9" s="1388"/>
      <c r="M9" s="1741"/>
      <c r="N9" s="941"/>
    </row>
    <row r="10" spans="1:22" s="28" customFormat="1" ht="26.25">
      <c r="A10" s="628"/>
      <c r="B10" s="763" t="s">
        <v>562</v>
      </c>
      <c r="C10" s="1321"/>
      <c r="D10" s="629"/>
      <c r="E10" s="690"/>
      <c r="F10" s="631"/>
      <c r="G10" s="632"/>
      <c r="H10" s="633"/>
      <c r="I10" s="632"/>
      <c r="J10" s="633"/>
      <c r="K10" s="679"/>
      <c r="L10" s="747"/>
      <c r="N10" s="572"/>
      <c r="O10" s="573"/>
      <c r="P10" s="1"/>
      <c r="Q10" s="3"/>
      <c r="R10" s="3"/>
      <c r="S10" s="3"/>
      <c r="T10" s="3"/>
      <c r="U10" s="15"/>
    </row>
    <row r="11" spans="1:22" s="28" customFormat="1" ht="24">
      <c r="A11" s="1554">
        <v>12.1</v>
      </c>
      <c r="B11" s="764" t="s">
        <v>1203</v>
      </c>
      <c r="C11" s="1322"/>
      <c r="D11" s="693"/>
      <c r="E11" s="694"/>
      <c r="F11" s="695"/>
      <c r="G11" s="696"/>
      <c r="H11" s="697"/>
      <c r="I11" s="696"/>
      <c r="J11" s="697"/>
      <c r="K11" s="698"/>
      <c r="L11" s="748"/>
      <c r="N11" s="572"/>
      <c r="O11" s="573"/>
      <c r="P11" s="1"/>
      <c r="Q11" s="3"/>
      <c r="R11" s="3"/>
      <c r="S11" s="3"/>
      <c r="T11" s="3"/>
      <c r="U11" s="15"/>
    </row>
    <row r="12" spans="1:22" s="28" customFormat="1" ht="24">
      <c r="A12" s="1554">
        <v>12.2</v>
      </c>
      <c r="B12" s="764" t="s">
        <v>1204</v>
      </c>
      <c r="C12" s="1322"/>
      <c r="D12" s="693"/>
      <c r="E12" s="694"/>
      <c r="F12" s="695"/>
      <c r="G12" s="696"/>
      <c r="H12" s="697"/>
      <c r="I12" s="696"/>
      <c r="J12" s="697"/>
      <c r="K12" s="698"/>
      <c r="L12" s="748"/>
      <c r="N12" s="572"/>
      <c r="O12" s="573"/>
      <c r="P12" s="1"/>
      <c r="Q12" s="3"/>
      <c r="R12" s="3"/>
      <c r="S12" s="3"/>
      <c r="T12" s="3"/>
      <c r="U12" s="15"/>
    </row>
    <row r="13" spans="1:22" s="28" customFormat="1" ht="24">
      <c r="A13" s="1554">
        <v>12.3</v>
      </c>
      <c r="B13" s="764" t="s">
        <v>1205</v>
      </c>
      <c r="C13" s="1322"/>
      <c r="D13" s="693"/>
      <c r="E13" s="694"/>
      <c r="F13" s="695"/>
      <c r="G13" s="696"/>
      <c r="H13" s="697"/>
      <c r="I13" s="696"/>
      <c r="J13" s="697"/>
      <c r="K13" s="698"/>
      <c r="L13" s="748"/>
      <c r="N13" s="572"/>
      <c r="O13" s="573"/>
      <c r="P13" s="1"/>
      <c r="Q13" s="3"/>
      <c r="R13" s="3"/>
      <c r="S13" s="3"/>
      <c r="T13" s="3"/>
      <c r="U13" s="15"/>
    </row>
    <row r="14" spans="1:22" s="28" customFormat="1" ht="24">
      <c r="A14" s="1554">
        <v>12.4</v>
      </c>
      <c r="B14" s="764" t="s">
        <v>1206</v>
      </c>
      <c r="C14" s="1322"/>
      <c r="D14" s="693"/>
      <c r="E14" s="694"/>
      <c r="F14" s="695"/>
      <c r="G14" s="696"/>
      <c r="H14" s="697"/>
      <c r="I14" s="696"/>
      <c r="J14" s="697"/>
      <c r="K14" s="698"/>
      <c r="L14" s="748"/>
      <c r="N14" s="572"/>
      <c r="O14" s="573"/>
      <c r="P14" s="1"/>
      <c r="Q14" s="3"/>
      <c r="R14" s="3"/>
      <c r="S14" s="3"/>
      <c r="T14" s="3"/>
      <c r="U14" s="15"/>
    </row>
    <row r="15" spans="1:22" s="28" customFormat="1" ht="24">
      <c r="A15" s="1554">
        <v>12.5</v>
      </c>
      <c r="B15" s="764" t="s">
        <v>698</v>
      </c>
      <c r="C15" s="1322"/>
      <c r="D15" s="693"/>
      <c r="E15" s="694"/>
      <c r="F15" s="695"/>
      <c r="G15" s="696"/>
      <c r="H15" s="697"/>
      <c r="I15" s="696"/>
      <c r="J15" s="697"/>
      <c r="K15" s="698"/>
      <c r="L15" s="748"/>
      <c r="N15" s="572"/>
      <c r="O15" s="573"/>
      <c r="P15" s="1"/>
      <c r="Q15" s="3"/>
      <c r="R15" s="3"/>
      <c r="S15" s="3"/>
      <c r="T15" s="3"/>
      <c r="U15" s="15"/>
    </row>
    <row r="16" spans="1:22" s="28" customFormat="1" ht="24">
      <c r="A16" s="1554">
        <v>12.6</v>
      </c>
      <c r="B16" s="764" t="s">
        <v>1207</v>
      </c>
      <c r="C16" s="1322"/>
      <c r="D16" s="693"/>
      <c r="E16" s="694"/>
      <c r="F16" s="695"/>
      <c r="G16" s="696"/>
      <c r="H16" s="697"/>
      <c r="I16" s="696"/>
      <c r="J16" s="697"/>
      <c r="K16" s="698"/>
      <c r="L16" s="748"/>
      <c r="N16" s="572"/>
      <c r="O16" s="573"/>
      <c r="P16" s="1"/>
      <c r="Q16" s="3"/>
      <c r="R16" s="3"/>
      <c r="S16" s="3"/>
      <c r="T16" s="3"/>
      <c r="U16" s="15"/>
    </row>
    <row r="17" spans="1:21" s="28" customFormat="1" ht="22.5" thickBot="1">
      <c r="A17" s="706"/>
      <c r="B17" s="766"/>
      <c r="C17" s="1324"/>
      <c r="D17" s="708"/>
      <c r="E17" s="911"/>
      <c r="F17" s="710"/>
      <c r="G17" s="711"/>
      <c r="H17" s="712"/>
      <c r="I17" s="711"/>
      <c r="J17" s="712"/>
      <c r="K17" s="713"/>
      <c r="L17" s="749"/>
      <c r="N17" s="572"/>
      <c r="O17" s="573"/>
      <c r="P17" s="1"/>
      <c r="Q17" s="3"/>
      <c r="R17" s="3"/>
      <c r="S17" s="3"/>
      <c r="T17" s="3"/>
      <c r="U17" s="15"/>
    </row>
    <row r="18" spans="1:21" s="724" customFormat="1" ht="27" thickBot="1">
      <c r="A18" s="715"/>
      <c r="B18" s="767"/>
      <c r="C18" s="1325"/>
      <c r="D18" s="714" t="s">
        <v>566</v>
      </c>
      <c r="E18" s="912"/>
      <c r="F18" s="718"/>
      <c r="G18" s="719"/>
      <c r="H18" s="1200"/>
      <c r="I18" s="719"/>
      <c r="J18" s="1200"/>
      <c r="K18" s="1200"/>
      <c r="L18" s="726"/>
      <c r="N18" s="720" t="str">
        <f>IF(L18=L490,"OK","Check")</f>
        <v>OK</v>
      </c>
      <c r="O18" s="721"/>
      <c r="P18" s="722"/>
      <c r="Q18" s="723"/>
      <c r="R18" s="723"/>
      <c r="S18" s="723"/>
      <c r="T18" s="723"/>
      <c r="U18" s="725"/>
    </row>
    <row r="19" spans="1:21" s="724" customFormat="1" ht="26.25">
      <c r="A19" s="1565">
        <v>12.1</v>
      </c>
      <c r="B19" s="1555" t="s">
        <v>1203</v>
      </c>
      <c r="C19" s="1556"/>
      <c r="D19" s="1557"/>
      <c r="E19" s="1558"/>
      <c r="F19" s="1559"/>
      <c r="G19" s="1560"/>
      <c r="H19" s="1561"/>
      <c r="I19" s="1560"/>
      <c r="J19" s="1561"/>
      <c r="K19" s="1561"/>
      <c r="L19" s="1562"/>
      <c r="N19" s="720"/>
      <c r="O19" s="721"/>
      <c r="P19" s="722"/>
      <c r="Q19" s="723"/>
      <c r="R19" s="723"/>
      <c r="S19" s="723"/>
      <c r="T19" s="723"/>
      <c r="U19" s="725"/>
    </row>
    <row r="20" spans="1:21" s="942" customFormat="1" ht="24">
      <c r="A20" s="1201" t="s">
        <v>1208</v>
      </c>
      <c r="B20" s="1460" t="s">
        <v>1209</v>
      </c>
      <c r="C20" s="1092"/>
      <c r="D20" s="945"/>
      <c r="E20" s="949"/>
      <c r="F20" s="949"/>
      <c r="G20" s="1389"/>
      <c r="H20" s="1389"/>
      <c r="I20" s="1389"/>
      <c r="J20" s="1389"/>
      <c r="K20" s="1467"/>
      <c r="L20" s="1466"/>
      <c r="M20" s="1741"/>
      <c r="N20" s="941"/>
    </row>
    <row r="21" spans="1:21" s="942" customFormat="1" ht="24">
      <c r="A21" s="1566" t="s">
        <v>282</v>
      </c>
      <c r="B21" s="1202" t="s">
        <v>1210</v>
      </c>
      <c r="C21" s="1092"/>
      <c r="D21" s="945"/>
      <c r="E21" s="949"/>
      <c r="F21" s="949" t="s">
        <v>1211</v>
      </c>
      <c r="G21" s="1389"/>
      <c r="H21" s="1389"/>
      <c r="I21" s="1389"/>
      <c r="J21" s="1389"/>
      <c r="K21" s="1467"/>
      <c r="L21" s="1466"/>
      <c r="M21" s="1741"/>
      <c r="N21" s="941"/>
    </row>
    <row r="22" spans="1:21" s="942" customFormat="1" ht="24">
      <c r="A22" s="1566" t="s">
        <v>282</v>
      </c>
      <c r="B22" s="1202" t="s">
        <v>1212</v>
      </c>
      <c r="C22" s="1092"/>
      <c r="D22" s="945"/>
      <c r="E22" s="949"/>
      <c r="F22" s="949" t="s">
        <v>1211</v>
      </c>
      <c r="G22" s="1389"/>
      <c r="H22" s="1389"/>
      <c r="I22" s="1389"/>
      <c r="J22" s="1389"/>
      <c r="K22" s="1467"/>
      <c r="L22" s="1466"/>
      <c r="M22" s="1741"/>
      <c r="N22" s="941"/>
    </row>
    <row r="23" spans="1:21" s="942" customFormat="1" ht="24">
      <c r="A23" s="1201" t="s">
        <v>1213</v>
      </c>
      <c r="B23" s="1202" t="s">
        <v>1214</v>
      </c>
      <c r="C23" s="1092"/>
      <c r="D23" s="945"/>
      <c r="E23" s="949"/>
      <c r="F23" s="949"/>
      <c r="G23" s="1389"/>
      <c r="H23" s="1389"/>
      <c r="I23" s="1389"/>
      <c r="J23" s="1389"/>
      <c r="K23" s="1467"/>
      <c r="L23" s="1466"/>
      <c r="M23" s="1741"/>
      <c r="N23" s="941"/>
    </row>
    <row r="24" spans="1:21" s="942" customFormat="1" ht="24">
      <c r="A24" s="1463" t="s">
        <v>282</v>
      </c>
      <c r="B24" s="1202" t="s">
        <v>1215</v>
      </c>
      <c r="C24" s="1092"/>
      <c r="D24" s="945"/>
      <c r="E24" s="949"/>
      <c r="F24" s="949" t="s">
        <v>1211</v>
      </c>
      <c r="G24" s="1389"/>
      <c r="H24" s="1389"/>
      <c r="I24" s="1389"/>
      <c r="J24" s="1389"/>
      <c r="K24" s="1467"/>
      <c r="L24" s="1466"/>
      <c r="M24" s="1741"/>
      <c r="N24" s="941"/>
    </row>
    <row r="25" spans="1:21" s="942" customFormat="1" ht="24">
      <c r="A25" s="1463" t="s">
        <v>282</v>
      </c>
      <c r="B25" s="1202" t="s">
        <v>1216</v>
      </c>
      <c r="C25" s="1092"/>
      <c r="D25" s="945"/>
      <c r="E25" s="949"/>
      <c r="F25" s="949" t="s">
        <v>1211</v>
      </c>
      <c r="G25" s="1389"/>
      <c r="H25" s="1389"/>
      <c r="I25" s="1389"/>
      <c r="J25" s="1389"/>
      <c r="K25" s="1467"/>
      <c r="L25" s="1466"/>
      <c r="M25" s="1741"/>
      <c r="N25" s="941"/>
    </row>
    <row r="26" spans="1:21" s="942" customFormat="1" ht="24">
      <c r="A26" s="1463" t="s">
        <v>282</v>
      </c>
      <c r="B26" s="1202" t="s">
        <v>1217</v>
      </c>
      <c r="C26" s="1092"/>
      <c r="D26" s="945"/>
      <c r="E26" s="949"/>
      <c r="F26" s="949" t="s">
        <v>1218</v>
      </c>
      <c r="G26" s="1389"/>
      <c r="H26" s="1389"/>
      <c r="I26" s="1389"/>
      <c r="J26" s="1389"/>
      <c r="K26" s="1467"/>
      <c r="L26" s="1466"/>
      <c r="M26" s="1741"/>
      <c r="N26" s="941"/>
    </row>
    <row r="27" spans="1:21" s="942" customFormat="1" ht="24">
      <c r="A27" s="1463" t="s">
        <v>282</v>
      </c>
      <c r="B27" s="1202" t="s">
        <v>1219</v>
      </c>
      <c r="C27" s="1092"/>
      <c r="D27" s="945"/>
      <c r="E27" s="949"/>
      <c r="F27" s="949" t="s">
        <v>1220</v>
      </c>
      <c r="G27" s="1389"/>
      <c r="H27" s="1389"/>
      <c r="I27" s="1389"/>
      <c r="J27" s="1389"/>
      <c r="K27" s="1467"/>
      <c r="L27" s="1466"/>
      <c r="M27" s="1741"/>
      <c r="N27" s="941"/>
    </row>
    <row r="28" spans="1:21" s="942" customFormat="1" ht="24">
      <c r="A28" s="1201" t="s">
        <v>1221</v>
      </c>
      <c r="B28" s="1202" t="s">
        <v>1222</v>
      </c>
      <c r="C28" s="1092"/>
      <c r="D28" s="945"/>
      <c r="E28" s="949"/>
      <c r="F28" s="949"/>
      <c r="G28" s="1389"/>
      <c r="H28" s="1389"/>
      <c r="I28" s="1389"/>
      <c r="J28" s="1389"/>
      <c r="K28" s="1467"/>
      <c r="L28" s="1466"/>
      <c r="M28" s="1741"/>
      <c r="N28" s="941"/>
    </row>
    <row r="29" spans="1:21" s="942" customFormat="1" ht="24">
      <c r="A29" s="1463" t="s">
        <v>282</v>
      </c>
      <c r="B29" s="1202" t="s">
        <v>1223</v>
      </c>
      <c r="C29" s="1092"/>
      <c r="D29" s="945"/>
      <c r="E29" s="949"/>
      <c r="F29" s="949" t="s">
        <v>1220</v>
      </c>
      <c r="G29" s="1389"/>
      <c r="H29" s="1389"/>
      <c r="I29" s="1389"/>
      <c r="J29" s="1389"/>
      <c r="K29" s="1467"/>
      <c r="L29" s="1466"/>
      <c r="M29" s="1741"/>
      <c r="N29" s="941"/>
    </row>
    <row r="30" spans="1:21" s="942" customFormat="1" ht="24">
      <c r="A30" s="1463" t="s">
        <v>282</v>
      </c>
      <c r="B30" s="1202" t="s">
        <v>1224</v>
      </c>
      <c r="C30" s="1092"/>
      <c r="D30" s="945"/>
      <c r="E30" s="949"/>
      <c r="F30" s="949" t="s">
        <v>1220</v>
      </c>
      <c r="G30" s="1389"/>
      <c r="H30" s="1389"/>
      <c r="I30" s="1389"/>
      <c r="J30" s="1389"/>
      <c r="K30" s="1467"/>
      <c r="L30" s="1466"/>
      <c r="M30" s="1741"/>
      <c r="N30" s="941"/>
    </row>
    <row r="31" spans="1:21" s="942" customFormat="1" ht="24">
      <c r="A31" s="1463" t="s">
        <v>282</v>
      </c>
      <c r="B31" s="1202" t="s">
        <v>1225</v>
      </c>
      <c r="C31" s="1092"/>
      <c r="D31" s="945"/>
      <c r="E31" s="949"/>
      <c r="F31" s="949" t="s">
        <v>1220</v>
      </c>
      <c r="G31" s="1389"/>
      <c r="H31" s="1389"/>
      <c r="I31" s="1389"/>
      <c r="J31" s="1389"/>
      <c r="K31" s="1467"/>
      <c r="L31" s="1466"/>
      <c r="M31" s="1741"/>
      <c r="N31" s="941"/>
    </row>
    <row r="32" spans="1:21" s="942" customFormat="1" ht="24">
      <c r="A32" s="1463" t="s">
        <v>282</v>
      </c>
      <c r="B32" s="1202" t="s">
        <v>1226</v>
      </c>
      <c r="C32" s="1092"/>
      <c r="D32" s="945"/>
      <c r="E32" s="949"/>
      <c r="F32" s="949" t="s">
        <v>1220</v>
      </c>
      <c r="G32" s="1389"/>
      <c r="H32" s="1389"/>
      <c r="I32" s="1389"/>
      <c r="J32" s="1389"/>
      <c r="K32" s="1467"/>
      <c r="L32" s="1466"/>
      <c r="M32" s="1741"/>
      <c r="N32" s="941"/>
    </row>
    <row r="33" spans="1:14" s="942" customFormat="1" ht="24">
      <c r="A33" s="1463" t="s">
        <v>282</v>
      </c>
      <c r="B33" s="1202" t="s">
        <v>1227</v>
      </c>
      <c r="C33" s="1092"/>
      <c r="D33" s="945"/>
      <c r="E33" s="949"/>
      <c r="F33" s="949" t="s">
        <v>1220</v>
      </c>
      <c r="G33" s="1389"/>
      <c r="H33" s="1389"/>
      <c r="I33" s="1389"/>
      <c r="J33" s="1389"/>
      <c r="K33" s="1467"/>
      <c r="L33" s="1466"/>
      <c r="M33" s="1741"/>
      <c r="N33" s="941"/>
    </row>
    <row r="34" spans="1:14" s="942" customFormat="1" ht="24">
      <c r="A34" s="1463" t="s">
        <v>282</v>
      </c>
      <c r="B34" s="1202" t="s">
        <v>1228</v>
      </c>
      <c r="C34" s="1092"/>
      <c r="D34" s="945"/>
      <c r="E34" s="949"/>
      <c r="F34" s="949" t="s">
        <v>1220</v>
      </c>
      <c r="G34" s="1389"/>
      <c r="H34" s="1389"/>
      <c r="I34" s="1389"/>
      <c r="J34" s="1389"/>
      <c r="K34" s="1467"/>
      <c r="L34" s="1466"/>
      <c r="M34" s="1741"/>
      <c r="N34" s="941"/>
    </row>
    <row r="35" spans="1:14" s="942" customFormat="1" ht="24">
      <c r="A35" s="1201" t="s">
        <v>1229</v>
      </c>
      <c r="B35" s="1202" t="s">
        <v>1230</v>
      </c>
      <c r="C35" s="1092"/>
      <c r="D35" s="945"/>
      <c r="E35" s="949"/>
      <c r="F35" s="949"/>
      <c r="G35" s="1389"/>
      <c r="H35" s="1389"/>
      <c r="I35" s="1389"/>
      <c r="J35" s="1389"/>
      <c r="K35" s="1467"/>
      <c r="L35" s="1466"/>
      <c r="M35" s="1741"/>
      <c r="N35" s="941"/>
    </row>
    <row r="36" spans="1:14" s="942" customFormat="1" ht="24">
      <c r="A36" s="1463" t="s">
        <v>282</v>
      </c>
      <c r="B36" s="1202" t="s">
        <v>1231</v>
      </c>
      <c r="C36" s="1092"/>
      <c r="D36" s="945"/>
      <c r="E36" s="949"/>
      <c r="F36" s="949" t="s">
        <v>1220</v>
      </c>
      <c r="G36" s="1389"/>
      <c r="H36" s="1389"/>
      <c r="I36" s="1389"/>
      <c r="J36" s="1389"/>
      <c r="K36" s="1467"/>
      <c r="L36" s="1466"/>
      <c r="M36" s="1741"/>
      <c r="N36" s="941"/>
    </row>
    <row r="37" spans="1:14" s="942" customFormat="1" ht="24">
      <c r="A37" s="1463" t="s">
        <v>282</v>
      </c>
      <c r="B37" s="1202" t="s">
        <v>1232</v>
      </c>
      <c r="C37" s="1092"/>
      <c r="D37" s="945"/>
      <c r="E37" s="949"/>
      <c r="F37" s="949" t="s">
        <v>1220</v>
      </c>
      <c r="G37" s="1389"/>
      <c r="H37" s="1389"/>
      <c r="I37" s="1389"/>
      <c r="J37" s="1389"/>
      <c r="K37" s="1467"/>
      <c r="L37" s="1466"/>
      <c r="M37" s="1741"/>
      <c r="N37" s="941"/>
    </row>
    <row r="38" spans="1:14" s="942" customFormat="1" ht="24">
      <c r="A38" s="1463" t="s">
        <v>282</v>
      </c>
      <c r="B38" s="1202" t="s">
        <v>1233</v>
      </c>
      <c r="C38" s="1092"/>
      <c r="D38" s="945"/>
      <c r="E38" s="949"/>
      <c r="F38" s="949" t="s">
        <v>1220</v>
      </c>
      <c r="G38" s="1389"/>
      <c r="H38" s="1389"/>
      <c r="I38" s="1389"/>
      <c r="J38" s="1389"/>
      <c r="K38" s="1467"/>
      <c r="L38" s="1466"/>
      <c r="M38" s="1741"/>
      <c r="N38" s="941"/>
    </row>
    <row r="39" spans="1:14" s="942" customFormat="1" ht="24">
      <c r="A39" s="1463" t="s">
        <v>282</v>
      </c>
      <c r="B39" s="1202" t="s">
        <v>1234</v>
      </c>
      <c r="C39" s="1092"/>
      <c r="D39" s="945"/>
      <c r="E39" s="949"/>
      <c r="F39" s="949" t="s">
        <v>1220</v>
      </c>
      <c r="G39" s="1389"/>
      <c r="H39" s="1389"/>
      <c r="I39" s="1389"/>
      <c r="J39" s="1389"/>
      <c r="K39" s="1467"/>
      <c r="L39" s="1466"/>
      <c r="M39" s="1741"/>
      <c r="N39" s="941"/>
    </row>
    <row r="40" spans="1:14" s="942" customFormat="1" ht="24">
      <c r="A40" s="1463" t="s">
        <v>282</v>
      </c>
      <c r="B40" s="1202" t="s">
        <v>1235</v>
      </c>
      <c r="C40" s="1092"/>
      <c r="D40" s="945"/>
      <c r="E40" s="949"/>
      <c r="F40" s="949" t="s">
        <v>211</v>
      </c>
      <c r="G40" s="1389"/>
      <c r="H40" s="1389"/>
      <c r="I40" s="1389"/>
      <c r="J40" s="1389"/>
      <c r="K40" s="1467"/>
      <c r="L40" s="1466"/>
      <c r="M40" s="1741"/>
      <c r="N40" s="941"/>
    </row>
    <row r="41" spans="1:14" s="942" customFormat="1" ht="24">
      <c r="A41" s="1463" t="s">
        <v>282</v>
      </c>
      <c r="B41" s="1202" t="s">
        <v>1236</v>
      </c>
      <c r="C41" s="1092"/>
      <c r="D41" s="945"/>
      <c r="E41" s="949"/>
      <c r="F41" s="949" t="s">
        <v>1237</v>
      </c>
      <c r="G41" s="1389"/>
      <c r="H41" s="1389"/>
      <c r="I41" s="1389"/>
      <c r="J41" s="1389"/>
      <c r="K41" s="1467"/>
      <c r="L41" s="1466"/>
      <c r="M41" s="1741"/>
      <c r="N41" s="941"/>
    </row>
    <row r="42" spans="1:14" s="942" customFormat="1" ht="24">
      <c r="A42" s="1201" t="s">
        <v>1238</v>
      </c>
      <c r="B42" s="1202" t="s">
        <v>1239</v>
      </c>
      <c r="C42" s="1092"/>
      <c r="D42" s="945"/>
      <c r="E42" s="949"/>
      <c r="F42" s="949"/>
      <c r="G42" s="1389"/>
      <c r="H42" s="1389"/>
      <c r="I42" s="1389"/>
      <c r="J42" s="1389"/>
      <c r="K42" s="1467"/>
      <c r="L42" s="1466"/>
      <c r="M42" s="1741"/>
      <c r="N42" s="941"/>
    </row>
    <row r="43" spans="1:14" s="942" customFormat="1" ht="71.25" customHeight="1">
      <c r="A43" s="1463" t="s">
        <v>282</v>
      </c>
      <c r="B43" s="1816" t="s">
        <v>1240</v>
      </c>
      <c r="C43" s="1745"/>
      <c r="D43" s="1746"/>
      <c r="E43" s="949"/>
      <c r="F43" s="949" t="s">
        <v>1241</v>
      </c>
      <c r="G43" s="1389"/>
      <c r="H43" s="1389"/>
      <c r="I43" s="1389"/>
      <c r="J43" s="1389"/>
      <c r="K43" s="1467"/>
      <c r="L43" s="1466"/>
      <c r="M43" s="1741"/>
      <c r="N43" s="941"/>
    </row>
    <row r="44" spans="1:14" s="942" customFormat="1" ht="24">
      <c r="A44" s="1463" t="s">
        <v>282</v>
      </c>
      <c r="B44" s="1202" t="s">
        <v>1242</v>
      </c>
      <c r="C44" s="1092"/>
      <c r="D44" s="945"/>
      <c r="E44" s="949"/>
      <c r="F44" s="949" t="s">
        <v>1241</v>
      </c>
      <c r="G44" s="1389"/>
      <c r="H44" s="1389"/>
      <c r="I44" s="1389"/>
      <c r="J44" s="1389"/>
      <c r="K44" s="1467"/>
      <c r="L44" s="1466"/>
      <c r="M44" s="1741"/>
      <c r="N44" s="941"/>
    </row>
    <row r="45" spans="1:14" s="942" customFormat="1" ht="24">
      <c r="A45" s="1463" t="s">
        <v>282</v>
      </c>
      <c r="B45" s="1202" t="s">
        <v>1243</v>
      </c>
      <c r="C45" s="1092"/>
      <c r="D45" s="945"/>
      <c r="E45" s="949"/>
      <c r="F45" s="949" t="s">
        <v>104</v>
      </c>
      <c r="G45" s="1389"/>
      <c r="H45" s="1389"/>
      <c r="I45" s="1389"/>
      <c r="J45" s="1389"/>
      <c r="K45" s="1467"/>
      <c r="L45" s="1466"/>
      <c r="M45" s="1741"/>
      <c r="N45" s="941"/>
    </row>
    <row r="46" spans="1:14" s="942" customFormat="1" ht="24">
      <c r="A46" s="1463" t="s">
        <v>282</v>
      </c>
      <c r="B46" s="1202" t="s">
        <v>1244</v>
      </c>
      <c r="C46" s="1092"/>
      <c r="D46" s="945"/>
      <c r="E46" s="949"/>
      <c r="F46" s="949" t="s">
        <v>104</v>
      </c>
      <c r="G46" s="1389"/>
      <c r="H46" s="1389"/>
      <c r="I46" s="1389"/>
      <c r="J46" s="1389"/>
      <c r="K46" s="1467"/>
      <c r="L46" s="1466"/>
      <c r="M46" s="1741"/>
      <c r="N46" s="941"/>
    </row>
    <row r="47" spans="1:14" s="942" customFormat="1" ht="24">
      <c r="A47" s="1463"/>
      <c r="B47" s="1202"/>
      <c r="C47" s="1092"/>
      <c r="D47" s="945"/>
      <c r="E47" s="949"/>
      <c r="F47" s="949"/>
      <c r="G47" s="1389"/>
      <c r="H47" s="1389"/>
      <c r="I47" s="1389"/>
      <c r="J47" s="1389"/>
      <c r="K47" s="1467"/>
      <c r="L47" s="1466"/>
      <c r="M47" s="1741"/>
      <c r="N47" s="941"/>
    </row>
    <row r="48" spans="1:14" s="942" customFormat="1" ht="24">
      <c r="A48" s="1552">
        <v>12.2</v>
      </c>
      <c r="B48" s="1460" t="s">
        <v>1245</v>
      </c>
      <c r="C48" s="1563"/>
      <c r="D48" s="945"/>
      <c r="E48" s="949"/>
      <c r="F48" s="949"/>
      <c r="G48" s="1389"/>
      <c r="H48" s="1389"/>
      <c r="I48" s="1389"/>
      <c r="J48" s="1389"/>
      <c r="K48" s="1467"/>
      <c r="L48" s="1466"/>
      <c r="M48" s="1741"/>
      <c r="N48" s="941"/>
    </row>
    <row r="49" spans="1:14" s="942" customFormat="1" ht="24">
      <c r="A49" s="1463" t="s">
        <v>1246</v>
      </c>
      <c r="B49" s="1460" t="s">
        <v>1247</v>
      </c>
      <c r="C49" s="1092"/>
      <c r="D49" s="945"/>
      <c r="E49" s="949"/>
      <c r="F49" s="949"/>
      <c r="G49" s="1389"/>
      <c r="H49" s="1389"/>
      <c r="I49" s="1389"/>
      <c r="J49" s="1389"/>
      <c r="K49" s="1467"/>
      <c r="L49" s="1466"/>
      <c r="M49" s="1741"/>
      <c r="N49" s="941"/>
    </row>
    <row r="50" spans="1:14" s="942" customFormat="1" ht="24">
      <c r="A50" s="1567" t="s">
        <v>282</v>
      </c>
      <c r="B50" s="1202" t="s">
        <v>1248</v>
      </c>
      <c r="C50" s="1092"/>
      <c r="D50" s="945"/>
      <c r="E50" s="949"/>
      <c r="F50" s="949" t="s">
        <v>1241</v>
      </c>
      <c r="G50" s="1389"/>
      <c r="H50" s="1389"/>
      <c r="I50" s="1389"/>
      <c r="J50" s="1389"/>
      <c r="K50" s="1467"/>
      <c r="L50" s="1466"/>
      <c r="M50" s="1741"/>
      <c r="N50" s="941"/>
    </row>
    <row r="51" spans="1:14" s="942" customFormat="1" ht="24">
      <c r="A51" s="1567" t="s">
        <v>282</v>
      </c>
      <c r="B51" s="1202" t="s">
        <v>1249</v>
      </c>
      <c r="C51" s="1092"/>
      <c r="D51" s="945"/>
      <c r="E51" s="949"/>
      <c r="F51" s="949" t="s">
        <v>1241</v>
      </c>
      <c r="G51" s="1389"/>
      <c r="H51" s="1389"/>
      <c r="I51" s="1389"/>
      <c r="J51" s="1389"/>
      <c r="K51" s="1467"/>
      <c r="L51" s="1466"/>
      <c r="M51" s="1741"/>
      <c r="N51" s="941"/>
    </row>
    <row r="52" spans="1:14" s="942" customFormat="1" ht="24">
      <c r="A52" s="1567" t="s">
        <v>282</v>
      </c>
      <c r="B52" s="1202" t="s">
        <v>1250</v>
      </c>
      <c r="C52" s="1092"/>
      <c r="D52" s="945"/>
      <c r="E52" s="949"/>
      <c r="F52" s="949" t="s">
        <v>1241</v>
      </c>
      <c r="G52" s="1389"/>
      <c r="H52" s="1389"/>
      <c r="I52" s="1389"/>
      <c r="J52" s="1389"/>
      <c r="K52" s="1467"/>
      <c r="L52" s="1466"/>
      <c r="M52" s="1741"/>
      <c r="N52" s="941"/>
    </row>
    <row r="53" spans="1:14" s="942" customFormat="1" ht="24">
      <c r="A53" s="1463" t="s">
        <v>1251</v>
      </c>
      <c r="B53" s="1460" t="s">
        <v>1252</v>
      </c>
      <c r="C53" s="1092"/>
      <c r="D53" s="945"/>
      <c r="E53" s="949"/>
      <c r="F53" s="949"/>
      <c r="G53" s="1389"/>
      <c r="H53" s="1389"/>
      <c r="I53" s="1389"/>
      <c r="J53" s="1389"/>
      <c r="K53" s="1467"/>
      <c r="L53" s="1466"/>
      <c r="M53" s="1741"/>
      <c r="N53" s="941"/>
    </row>
    <row r="54" spans="1:14" s="942" customFormat="1" ht="24">
      <c r="A54" s="1567" t="s">
        <v>282</v>
      </c>
      <c r="B54" s="1202" t="s">
        <v>1253</v>
      </c>
      <c r="C54" s="1092"/>
      <c r="D54" s="945"/>
      <c r="E54" s="949"/>
      <c r="F54" s="949" t="s">
        <v>1241</v>
      </c>
      <c r="G54" s="1389"/>
      <c r="H54" s="1389"/>
      <c r="I54" s="1389"/>
      <c r="J54" s="1389"/>
      <c r="K54" s="1467"/>
      <c r="L54" s="1466"/>
      <c r="M54" s="1741"/>
      <c r="N54" s="941"/>
    </row>
    <row r="55" spans="1:14" s="942" customFormat="1" ht="24">
      <c r="A55" s="1567" t="s">
        <v>282</v>
      </c>
      <c r="B55" s="1202" t="s">
        <v>1254</v>
      </c>
      <c r="C55" s="1092"/>
      <c r="D55" s="945"/>
      <c r="E55" s="949"/>
      <c r="F55" s="949" t="s">
        <v>1241</v>
      </c>
      <c r="G55" s="1389"/>
      <c r="H55" s="1389"/>
      <c r="I55" s="1389"/>
      <c r="J55" s="1389"/>
      <c r="K55" s="1467"/>
      <c r="L55" s="1466"/>
      <c r="M55" s="1741"/>
      <c r="N55" s="941"/>
    </row>
    <row r="56" spans="1:14" s="942" customFormat="1" ht="24">
      <c r="A56" s="1567" t="s">
        <v>282</v>
      </c>
      <c r="B56" s="1202" t="s">
        <v>1255</v>
      </c>
      <c r="C56" s="1092"/>
      <c r="D56" s="945"/>
      <c r="E56" s="949"/>
      <c r="F56" s="949" t="s">
        <v>1241</v>
      </c>
      <c r="G56" s="1389"/>
      <c r="H56" s="1389"/>
      <c r="I56" s="1389"/>
      <c r="J56" s="1389"/>
      <c r="K56" s="1467"/>
      <c r="L56" s="1466"/>
      <c r="M56" s="1741"/>
      <c r="N56" s="941"/>
    </row>
    <row r="57" spans="1:14" s="942" customFormat="1" ht="24">
      <c r="A57" s="1567" t="s">
        <v>282</v>
      </c>
      <c r="B57" s="1202" t="s">
        <v>1256</v>
      </c>
      <c r="C57" s="1092"/>
      <c r="D57" s="945"/>
      <c r="E57" s="949"/>
      <c r="F57" s="949" t="s">
        <v>1241</v>
      </c>
      <c r="G57" s="1389"/>
      <c r="H57" s="1389"/>
      <c r="I57" s="1389"/>
      <c r="J57" s="1389"/>
      <c r="K57" s="1467"/>
      <c r="L57" s="1466"/>
      <c r="M57" s="1741"/>
      <c r="N57" s="941"/>
    </row>
    <row r="58" spans="1:14" s="942" customFormat="1" ht="24">
      <c r="A58" s="1567" t="s">
        <v>282</v>
      </c>
      <c r="B58" s="1202" t="s">
        <v>1257</v>
      </c>
      <c r="C58" s="1092"/>
      <c r="D58" s="945"/>
      <c r="E58" s="949"/>
      <c r="F58" s="949" t="s">
        <v>104</v>
      </c>
      <c r="G58" s="1389"/>
      <c r="H58" s="1389"/>
      <c r="I58" s="1389"/>
      <c r="J58" s="1389"/>
      <c r="K58" s="1467"/>
      <c r="L58" s="1466"/>
      <c r="M58" s="1741"/>
      <c r="N58" s="941"/>
    </row>
    <row r="59" spans="1:14" s="942" customFormat="1" ht="24">
      <c r="A59" s="1567" t="s">
        <v>282</v>
      </c>
      <c r="B59" s="1202" t="s">
        <v>1258</v>
      </c>
      <c r="C59" s="1092"/>
      <c r="D59" s="945"/>
      <c r="E59" s="949"/>
      <c r="F59" s="949" t="s">
        <v>284</v>
      </c>
      <c r="G59" s="1389"/>
      <c r="H59" s="1389"/>
      <c r="I59" s="1389"/>
      <c r="J59" s="1389"/>
      <c r="K59" s="1467"/>
      <c r="L59" s="1466"/>
      <c r="M59" s="1741"/>
      <c r="N59" s="941"/>
    </row>
    <row r="60" spans="1:14" s="942" customFormat="1" ht="24">
      <c r="A60" s="1463" t="s">
        <v>1259</v>
      </c>
      <c r="B60" s="1460" t="s">
        <v>1260</v>
      </c>
      <c r="C60" s="1092"/>
      <c r="D60" s="945"/>
      <c r="E60" s="949"/>
      <c r="F60" s="949"/>
      <c r="G60" s="1389"/>
      <c r="H60" s="1389"/>
      <c r="I60" s="1389"/>
      <c r="J60" s="1389"/>
      <c r="K60" s="1467"/>
      <c r="L60" s="1466"/>
      <c r="M60" s="1741"/>
      <c r="N60" s="941"/>
    </row>
    <row r="61" spans="1:14" s="942" customFormat="1" ht="24">
      <c r="A61" s="1567" t="s">
        <v>282</v>
      </c>
      <c r="B61" s="1202" t="s">
        <v>1261</v>
      </c>
      <c r="C61" s="1092"/>
      <c r="D61" s="945"/>
      <c r="E61" s="949"/>
      <c r="F61" s="949" t="s">
        <v>1262</v>
      </c>
      <c r="G61" s="1389"/>
      <c r="H61" s="1389"/>
      <c r="I61" s="1389"/>
      <c r="J61" s="1389"/>
      <c r="K61" s="1467"/>
      <c r="L61" s="1466"/>
      <c r="M61" s="1741"/>
      <c r="N61" s="941"/>
    </row>
    <row r="62" spans="1:14" s="942" customFormat="1" ht="24">
      <c r="A62" s="1567" t="s">
        <v>282</v>
      </c>
      <c r="B62" s="1202" t="s">
        <v>1263</v>
      </c>
      <c r="C62" s="1092"/>
      <c r="D62" s="945"/>
      <c r="E62" s="949"/>
      <c r="F62" s="949" t="s">
        <v>1262</v>
      </c>
      <c r="G62" s="1389"/>
      <c r="H62" s="1389"/>
      <c r="I62" s="1389"/>
      <c r="J62" s="1389"/>
      <c r="K62" s="1467"/>
      <c r="L62" s="1466"/>
      <c r="M62" s="1741"/>
      <c r="N62" s="941"/>
    </row>
    <row r="63" spans="1:14" s="942" customFormat="1" ht="24">
      <c r="A63" s="1567" t="s">
        <v>282</v>
      </c>
      <c r="B63" s="1202" t="s">
        <v>1264</v>
      </c>
      <c r="C63" s="1092"/>
      <c r="D63" s="945"/>
      <c r="E63" s="949"/>
      <c r="F63" s="949" t="s">
        <v>1262</v>
      </c>
      <c r="G63" s="1389"/>
      <c r="H63" s="1389"/>
      <c r="I63" s="1389"/>
      <c r="J63" s="1389"/>
      <c r="K63" s="1467"/>
      <c r="L63" s="1466"/>
      <c r="M63" s="1741"/>
      <c r="N63" s="941"/>
    </row>
    <row r="64" spans="1:14" s="942" customFormat="1" ht="24">
      <c r="A64" s="1567" t="s">
        <v>282</v>
      </c>
      <c r="B64" s="1202" t="s">
        <v>1265</v>
      </c>
      <c r="C64" s="1092"/>
      <c r="D64" s="945"/>
      <c r="E64" s="949"/>
      <c r="F64" s="949" t="s">
        <v>1262</v>
      </c>
      <c r="G64" s="1389"/>
      <c r="H64" s="1389"/>
      <c r="I64" s="1389"/>
      <c r="J64" s="1389"/>
      <c r="K64" s="1467"/>
      <c r="L64" s="1466"/>
      <c r="M64" s="1741"/>
      <c r="N64" s="941"/>
    </row>
    <row r="65" spans="1:14" s="942" customFormat="1" ht="24">
      <c r="A65" s="1567" t="s">
        <v>282</v>
      </c>
      <c r="B65" s="1202" t="s">
        <v>1266</v>
      </c>
      <c r="C65" s="1092"/>
      <c r="D65" s="945"/>
      <c r="E65" s="949"/>
      <c r="F65" s="949" t="s">
        <v>1262</v>
      </c>
      <c r="G65" s="1389"/>
      <c r="H65" s="1389"/>
      <c r="I65" s="1389"/>
      <c r="J65" s="1389"/>
      <c r="K65" s="1467"/>
      <c r="L65" s="1466"/>
      <c r="M65" s="1741"/>
      <c r="N65" s="941"/>
    </row>
    <row r="66" spans="1:14" s="942" customFormat="1" ht="24">
      <c r="A66" s="1567" t="s">
        <v>282</v>
      </c>
      <c r="B66" s="1202" t="s">
        <v>1267</v>
      </c>
      <c r="C66" s="1092"/>
      <c r="D66" s="945"/>
      <c r="E66" s="949"/>
      <c r="F66" s="949" t="s">
        <v>1262</v>
      </c>
      <c r="G66" s="1389"/>
      <c r="H66" s="1389"/>
      <c r="I66" s="1389"/>
      <c r="J66" s="1389"/>
      <c r="K66" s="1467"/>
      <c r="L66" s="1466"/>
      <c r="M66" s="1741"/>
      <c r="N66" s="941"/>
    </row>
    <row r="67" spans="1:14" s="942" customFormat="1" ht="24">
      <c r="A67" s="1567" t="s">
        <v>282</v>
      </c>
      <c r="B67" s="1202" t="s">
        <v>1268</v>
      </c>
      <c r="C67" s="1092"/>
      <c r="D67" s="945"/>
      <c r="E67" s="949"/>
      <c r="F67" s="949" t="s">
        <v>1262</v>
      </c>
      <c r="G67" s="1389"/>
      <c r="H67" s="1389"/>
      <c r="I67" s="1389"/>
      <c r="J67" s="1389"/>
      <c r="K67" s="1467"/>
      <c r="L67" s="1466"/>
      <c r="M67" s="1741"/>
      <c r="N67" s="941"/>
    </row>
    <row r="68" spans="1:14" s="942" customFormat="1" ht="24">
      <c r="A68" s="1463" t="s">
        <v>1269</v>
      </c>
      <c r="B68" s="1460" t="s">
        <v>1270</v>
      </c>
      <c r="C68" s="1092"/>
      <c r="D68" s="945"/>
      <c r="E68" s="949"/>
      <c r="F68" s="949"/>
      <c r="G68" s="1389"/>
      <c r="H68" s="1389"/>
      <c r="I68" s="1389"/>
      <c r="J68" s="1389"/>
      <c r="K68" s="1467"/>
      <c r="L68" s="1466"/>
      <c r="M68" s="1741"/>
      <c r="N68" s="941"/>
    </row>
    <row r="69" spans="1:14" s="942" customFormat="1" ht="24">
      <c r="A69" s="1567" t="s">
        <v>282</v>
      </c>
      <c r="B69" s="1202" t="s">
        <v>1271</v>
      </c>
      <c r="C69" s="1092"/>
      <c r="D69" s="945"/>
      <c r="E69" s="949"/>
      <c r="F69" s="949" t="s">
        <v>284</v>
      </c>
      <c r="G69" s="1389"/>
      <c r="H69" s="1389"/>
      <c r="I69" s="1389"/>
      <c r="J69" s="1389"/>
      <c r="K69" s="1467"/>
      <c r="L69" s="1466"/>
      <c r="M69" s="1741"/>
      <c r="N69" s="941"/>
    </row>
    <row r="70" spans="1:14" s="942" customFormat="1" ht="24">
      <c r="A70" s="1567" t="s">
        <v>282</v>
      </c>
      <c r="B70" s="1202" t="s">
        <v>1272</v>
      </c>
      <c r="C70" s="1092"/>
      <c r="D70" s="945"/>
      <c r="E70" s="949"/>
      <c r="F70" s="949" t="s">
        <v>284</v>
      </c>
      <c r="G70" s="1389"/>
      <c r="H70" s="1389"/>
      <c r="I70" s="1389"/>
      <c r="J70" s="1389"/>
      <c r="K70" s="1467"/>
      <c r="L70" s="1466"/>
      <c r="M70" s="1741"/>
      <c r="N70" s="941"/>
    </row>
    <row r="71" spans="1:14" s="942" customFormat="1" ht="24">
      <c r="A71" s="1567" t="s">
        <v>282</v>
      </c>
      <c r="B71" s="1202" t="s">
        <v>1273</v>
      </c>
      <c r="C71" s="1092"/>
      <c r="D71" s="945"/>
      <c r="E71" s="949"/>
      <c r="F71" s="949" t="s">
        <v>284</v>
      </c>
      <c r="G71" s="1389"/>
      <c r="H71" s="1389"/>
      <c r="I71" s="1389"/>
      <c r="J71" s="1389"/>
      <c r="K71" s="1467"/>
      <c r="L71" s="1466"/>
      <c r="M71" s="1741"/>
      <c r="N71" s="941"/>
    </row>
    <row r="72" spans="1:14" s="942" customFormat="1" ht="24">
      <c r="A72" s="1567" t="s">
        <v>282</v>
      </c>
      <c r="B72" s="1202" t="s">
        <v>1274</v>
      </c>
      <c r="C72" s="1092"/>
      <c r="D72" s="945"/>
      <c r="E72" s="949"/>
      <c r="F72" s="949" t="s">
        <v>284</v>
      </c>
      <c r="G72" s="1389"/>
      <c r="H72" s="1389"/>
      <c r="I72" s="1389"/>
      <c r="J72" s="1389"/>
      <c r="K72" s="1467"/>
      <c r="L72" s="1466"/>
      <c r="M72" s="1741"/>
      <c r="N72" s="941"/>
    </row>
    <row r="73" spans="1:14" s="942" customFormat="1" ht="24">
      <c r="A73" s="1567" t="s">
        <v>282</v>
      </c>
      <c r="B73" s="1202" t="s">
        <v>1275</v>
      </c>
      <c r="C73" s="1092"/>
      <c r="D73" s="945"/>
      <c r="E73" s="949"/>
      <c r="F73" s="949" t="s">
        <v>284</v>
      </c>
      <c r="G73" s="1389"/>
      <c r="H73" s="1389"/>
      <c r="I73" s="1389"/>
      <c r="J73" s="1389"/>
      <c r="K73" s="1467"/>
      <c r="L73" s="1466"/>
      <c r="M73" s="1741"/>
      <c r="N73" s="941"/>
    </row>
    <row r="74" spans="1:14" s="942" customFormat="1" ht="24">
      <c r="A74" s="1567" t="s">
        <v>282</v>
      </c>
      <c r="B74" s="1202" t="s">
        <v>1276</v>
      </c>
      <c r="C74" s="1092"/>
      <c r="D74" s="945"/>
      <c r="E74" s="949"/>
      <c r="F74" s="949" t="s">
        <v>284</v>
      </c>
      <c r="G74" s="1389"/>
      <c r="H74" s="1389"/>
      <c r="I74" s="1389"/>
      <c r="J74" s="1389"/>
      <c r="K74" s="1467"/>
      <c r="L74" s="1466"/>
      <c r="M74" s="1741"/>
      <c r="N74" s="941"/>
    </row>
    <row r="75" spans="1:14" s="942" customFormat="1" ht="24">
      <c r="A75" s="1567" t="s">
        <v>282</v>
      </c>
      <c r="B75" s="1202" t="s">
        <v>1277</v>
      </c>
      <c r="C75" s="1092"/>
      <c r="D75" s="945"/>
      <c r="E75" s="949"/>
      <c r="F75" s="949" t="s">
        <v>284</v>
      </c>
      <c r="G75" s="1389"/>
      <c r="H75" s="1389"/>
      <c r="I75" s="1389"/>
      <c r="J75" s="1389"/>
      <c r="K75" s="1467"/>
      <c r="L75" s="1466"/>
      <c r="M75" s="1741"/>
      <c r="N75" s="941"/>
    </row>
    <row r="76" spans="1:14" s="942" customFormat="1" ht="24">
      <c r="A76" s="1567" t="s">
        <v>282</v>
      </c>
      <c r="B76" s="1202" t="s">
        <v>1278</v>
      </c>
      <c r="C76" s="1092"/>
      <c r="D76" s="945"/>
      <c r="E76" s="949"/>
      <c r="F76" s="949" t="s">
        <v>284</v>
      </c>
      <c r="G76" s="1389"/>
      <c r="H76" s="1389"/>
      <c r="I76" s="1389"/>
      <c r="J76" s="1389"/>
      <c r="K76" s="1467"/>
      <c r="L76" s="1466"/>
      <c r="M76" s="1741"/>
      <c r="N76" s="941"/>
    </row>
    <row r="77" spans="1:14" s="942" customFormat="1" ht="24">
      <c r="A77" s="1567" t="s">
        <v>282</v>
      </c>
      <c r="B77" s="1202" t="s">
        <v>1279</v>
      </c>
      <c r="C77" s="1092"/>
      <c r="D77" s="945"/>
      <c r="E77" s="949"/>
      <c r="F77" s="949" t="s">
        <v>284</v>
      </c>
      <c r="G77" s="1389"/>
      <c r="H77" s="1389"/>
      <c r="I77" s="1389"/>
      <c r="J77" s="1389"/>
      <c r="K77" s="1467"/>
      <c r="L77" s="1466"/>
      <c r="M77" s="1741"/>
      <c r="N77" s="941"/>
    </row>
    <row r="78" spans="1:14" s="942" customFormat="1" ht="24">
      <c r="A78" s="1463" t="s">
        <v>1280</v>
      </c>
      <c r="B78" s="1460" t="s">
        <v>1281</v>
      </c>
      <c r="C78" s="1092"/>
      <c r="D78" s="945"/>
      <c r="E78" s="949"/>
      <c r="F78" s="949"/>
      <c r="G78" s="1389"/>
      <c r="H78" s="1389"/>
      <c r="I78" s="1389"/>
      <c r="J78" s="1389"/>
      <c r="K78" s="1467"/>
      <c r="L78" s="1466"/>
      <c r="M78" s="1741"/>
      <c r="N78" s="941"/>
    </row>
    <row r="79" spans="1:14" s="942" customFormat="1" ht="24">
      <c r="A79" s="1567" t="s">
        <v>282</v>
      </c>
      <c r="B79" s="1202" t="s">
        <v>1282</v>
      </c>
      <c r="C79" s="1092"/>
      <c r="D79" s="945"/>
      <c r="E79" s="949"/>
      <c r="F79" s="949" t="s">
        <v>284</v>
      </c>
      <c r="G79" s="1389"/>
      <c r="H79" s="1389"/>
      <c r="I79" s="1389"/>
      <c r="J79" s="1389"/>
      <c r="K79" s="1467"/>
      <c r="L79" s="1466"/>
      <c r="M79" s="1741"/>
      <c r="N79" s="941"/>
    </row>
    <row r="80" spans="1:14" s="942" customFormat="1" ht="24">
      <c r="A80" s="1567" t="s">
        <v>282</v>
      </c>
      <c r="B80" s="1464" t="s">
        <v>1283</v>
      </c>
      <c r="C80" s="1092"/>
      <c r="D80" s="945"/>
      <c r="E80" s="949"/>
      <c r="F80" s="949" t="s">
        <v>284</v>
      </c>
      <c r="G80" s="1389"/>
      <c r="H80" s="1389"/>
      <c r="I80" s="1389"/>
      <c r="J80" s="1389"/>
      <c r="K80" s="1467"/>
      <c r="L80" s="1466"/>
      <c r="M80" s="1741"/>
      <c r="N80" s="941"/>
    </row>
    <row r="81" spans="1:14" s="942" customFormat="1" ht="24">
      <c r="A81" s="1567" t="s">
        <v>282</v>
      </c>
      <c r="B81" s="1464" t="s">
        <v>1284</v>
      </c>
      <c r="C81" s="1092"/>
      <c r="D81" s="945"/>
      <c r="E81" s="949"/>
      <c r="F81" s="949" t="s">
        <v>284</v>
      </c>
      <c r="G81" s="1389"/>
      <c r="H81" s="1389"/>
      <c r="I81" s="1389"/>
      <c r="J81" s="1389"/>
      <c r="K81" s="1467"/>
      <c r="L81" s="1466"/>
      <c r="M81" s="1741"/>
      <c r="N81" s="941"/>
    </row>
    <row r="82" spans="1:14" s="942" customFormat="1" ht="24">
      <c r="A82" s="1463" t="s">
        <v>1285</v>
      </c>
      <c r="B82" s="1460" t="s">
        <v>1286</v>
      </c>
      <c r="C82" s="1092"/>
      <c r="D82" s="945"/>
      <c r="E82" s="949"/>
      <c r="F82" s="949"/>
      <c r="G82" s="1389"/>
      <c r="H82" s="1389"/>
      <c r="I82" s="1389"/>
      <c r="J82" s="1389"/>
      <c r="K82" s="1467"/>
      <c r="L82" s="1466"/>
      <c r="M82" s="1741"/>
      <c r="N82" s="941"/>
    </row>
    <row r="83" spans="1:14" s="942" customFormat="1" ht="24">
      <c r="A83" s="1567" t="s">
        <v>282</v>
      </c>
      <c r="B83" s="1464" t="s">
        <v>1287</v>
      </c>
      <c r="C83" s="1092"/>
      <c r="D83" s="945"/>
      <c r="E83" s="949"/>
      <c r="F83" s="949" t="s">
        <v>1241</v>
      </c>
      <c r="G83" s="1389"/>
      <c r="H83" s="1389"/>
      <c r="I83" s="1389"/>
      <c r="J83" s="1389"/>
      <c r="K83" s="1467"/>
      <c r="L83" s="1466"/>
      <c r="M83" s="1741"/>
      <c r="N83" s="941"/>
    </row>
    <row r="84" spans="1:14" s="942" customFormat="1" ht="24">
      <c r="A84" s="1567" t="s">
        <v>282</v>
      </c>
      <c r="B84" s="1464" t="s">
        <v>1288</v>
      </c>
      <c r="C84" s="1092"/>
      <c r="D84" s="945"/>
      <c r="E84" s="949"/>
      <c r="F84" s="949" t="s">
        <v>1241</v>
      </c>
      <c r="G84" s="1389"/>
      <c r="H84" s="1389"/>
      <c r="I84" s="1389"/>
      <c r="J84" s="1389"/>
      <c r="K84" s="1467"/>
      <c r="L84" s="1466"/>
      <c r="M84" s="1741"/>
      <c r="N84" s="941"/>
    </row>
    <row r="85" spans="1:14" s="942" customFormat="1" ht="24">
      <c r="A85" s="1567" t="s">
        <v>282</v>
      </c>
      <c r="B85" s="1202" t="s">
        <v>1289</v>
      </c>
      <c r="C85" s="1092"/>
      <c r="D85" s="945"/>
      <c r="E85" s="949"/>
      <c r="F85" s="949" t="s">
        <v>1241</v>
      </c>
      <c r="G85" s="1389"/>
      <c r="H85" s="1389"/>
      <c r="I85" s="1389"/>
      <c r="J85" s="1389"/>
      <c r="K85" s="1467"/>
      <c r="L85" s="1466"/>
      <c r="M85" s="1741"/>
      <c r="N85" s="941"/>
    </row>
    <row r="86" spans="1:14" s="942" customFormat="1" ht="24">
      <c r="A86" s="1463" t="s">
        <v>1290</v>
      </c>
      <c r="B86" s="1563" t="s">
        <v>1291</v>
      </c>
      <c r="C86" s="1092"/>
      <c r="D86" s="945"/>
      <c r="E86" s="949"/>
      <c r="F86" s="924"/>
      <c r="G86" s="1389"/>
      <c r="H86" s="1389"/>
      <c r="I86" s="1389"/>
      <c r="J86" s="1389"/>
      <c r="K86" s="926"/>
      <c r="L86" s="1466"/>
      <c r="M86" s="1741"/>
      <c r="N86" s="941"/>
    </row>
    <row r="87" spans="1:14" s="942" customFormat="1" ht="24">
      <c r="A87" s="1567" t="s">
        <v>282</v>
      </c>
      <c r="B87" s="1110" t="s">
        <v>1292</v>
      </c>
      <c r="C87" s="1092"/>
      <c r="D87" s="945"/>
      <c r="E87" s="949"/>
      <c r="F87" s="924" t="s">
        <v>1241</v>
      </c>
      <c r="G87" s="1389"/>
      <c r="H87" s="1389"/>
      <c r="I87" s="1389"/>
      <c r="J87" s="1389"/>
      <c r="K87" s="926"/>
      <c r="L87" s="1466"/>
      <c r="M87" s="1741"/>
      <c r="N87" s="941"/>
    </row>
    <row r="88" spans="1:14" s="942" customFormat="1" ht="24">
      <c r="A88" s="1567" t="s">
        <v>282</v>
      </c>
      <c r="B88" s="1202" t="s">
        <v>1293</v>
      </c>
      <c r="C88" s="1092"/>
      <c r="D88" s="1228"/>
      <c r="E88" s="949"/>
      <c r="F88" s="924" t="s">
        <v>1241</v>
      </c>
      <c r="G88" s="1389"/>
      <c r="H88" s="1389"/>
      <c r="I88" s="1389"/>
      <c r="J88" s="1389"/>
      <c r="K88" s="1467"/>
      <c r="L88" s="1466"/>
      <c r="M88" s="1741"/>
      <c r="N88" s="941"/>
    </row>
    <row r="89" spans="1:14" s="942" customFormat="1" ht="24">
      <c r="A89" s="1567" t="s">
        <v>282</v>
      </c>
      <c r="B89" s="1202" t="s">
        <v>1294</v>
      </c>
      <c r="C89" s="1092"/>
      <c r="D89" s="1228"/>
      <c r="E89" s="949"/>
      <c r="F89" s="924" t="s">
        <v>16</v>
      </c>
      <c r="G89" s="1389"/>
      <c r="H89" s="1389"/>
      <c r="I89" s="1389"/>
      <c r="J89" s="1389"/>
      <c r="K89" s="1467"/>
      <c r="L89" s="1466"/>
      <c r="M89" s="1741"/>
      <c r="N89" s="941"/>
    </row>
    <row r="90" spans="1:14" s="942" customFormat="1" ht="24">
      <c r="A90" s="1567" t="s">
        <v>282</v>
      </c>
      <c r="B90" s="1202" t="s">
        <v>1295</v>
      </c>
      <c r="C90" s="1092"/>
      <c r="D90" s="1228"/>
      <c r="E90" s="949"/>
      <c r="F90" s="924" t="s">
        <v>16</v>
      </c>
      <c r="G90" s="1389"/>
      <c r="H90" s="1389"/>
      <c r="I90" s="1389"/>
      <c r="J90" s="1389"/>
      <c r="K90" s="1467"/>
      <c r="L90" s="1466"/>
      <c r="M90" s="1741"/>
      <c r="N90" s="941"/>
    </row>
    <row r="91" spans="1:14" s="942" customFormat="1" ht="24">
      <c r="A91" s="1462"/>
      <c r="B91" s="1202"/>
      <c r="C91" s="1092"/>
      <c r="D91" s="1228"/>
      <c r="E91" s="949"/>
      <c r="F91" s="924"/>
      <c r="G91" s="1389"/>
      <c r="H91" s="1389"/>
      <c r="I91" s="1389"/>
      <c r="J91" s="1389"/>
      <c r="K91" s="1467"/>
      <c r="L91" s="1466"/>
      <c r="M91" s="1741"/>
      <c r="N91" s="941"/>
    </row>
    <row r="92" spans="1:14" s="942" customFormat="1" ht="24">
      <c r="A92" s="1553">
        <v>12.3</v>
      </c>
      <c r="B92" s="1460" t="s">
        <v>1064</v>
      </c>
      <c r="C92" s="1092"/>
      <c r="D92" s="1228"/>
      <c r="E92" s="949"/>
      <c r="F92" s="924"/>
      <c r="G92" s="1389"/>
      <c r="H92" s="1389"/>
      <c r="I92" s="1389"/>
      <c r="J92" s="1389"/>
      <c r="K92" s="1467"/>
      <c r="L92" s="1466"/>
      <c r="M92" s="1741"/>
      <c r="N92" s="941"/>
    </row>
    <row r="93" spans="1:14" s="942" customFormat="1" ht="24">
      <c r="A93" s="1462" t="s">
        <v>1296</v>
      </c>
      <c r="B93" s="1460" t="s">
        <v>1297</v>
      </c>
      <c r="C93" s="1092"/>
      <c r="D93" s="1228"/>
      <c r="E93" s="949"/>
      <c r="F93" s="924"/>
      <c r="G93" s="1389"/>
      <c r="H93" s="1389"/>
      <c r="I93" s="1389"/>
      <c r="J93" s="1389"/>
      <c r="K93" s="1467"/>
      <c r="L93" s="1466"/>
      <c r="M93" s="1741"/>
      <c r="N93" s="941"/>
    </row>
    <row r="94" spans="1:14" s="942" customFormat="1" ht="24">
      <c r="A94" s="1463"/>
      <c r="B94" s="1202" t="s">
        <v>1298</v>
      </c>
      <c r="C94" s="1092"/>
      <c r="D94" s="1228"/>
      <c r="E94" s="949"/>
      <c r="F94" s="924" t="s">
        <v>223</v>
      </c>
      <c r="G94" s="1389"/>
      <c r="H94" s="1389"/>
      <c r="I94" s="1389"/>
      <c r="J94" s="1389"/>
      <c r="K94" s="1467"/>
      <c r="L94" s="1466"/>
      <c r="M94" s="1741"/>
      <c r="N94" s="941"/>
    </row>
    <row r="95" spans="1:14" s="942" customFormat="1" ht="24">
      <c r="A95" s="1462"/>
      <c r="B95" s="1202" t="s">
        <v>1299</v>
      </c>
      <c r="C95" s="1092"/>
      <c r="D95" s="1228"/>
      <c r="E95" s="949"/>
      <c r="F95" s="924" t="s">
        <v>223</v>
      </c>
      <c r="G95" s="1389"/>
      <c r="H95" s="1389"/>
      <c r="I95" s="1389"/>
      <c r="J95" s="1389"/>
      <c r="K95" s="926"/>
      <c r="L95" s="1466"/>
      <c r="M95" s="1741"/>
      <c r="N95" s="941"/>
    </row>
    <row r="96" spans="1:14" s="942" customFormat="1" ht="24">
      <c r="A96" s="1201"/>
      <c r="B96" s="1464" t="s">
        <v>1300</v>
      </c>
      <c r="C96" s="1092"/>
      <c r="D96" s="1228"/>
      <c r="E96" s="949"/>
      <c r="F96" s="924" t="s">
        <v>223</v>
      </c>
      <c r="G96" s="1389"/>
      <c r="H96" s="1389"/>
      <c r="I96" s="1389"/>
      <c r="J96" s="1389"/>
      <c r="K96" s="1467"/>
      <c r="L96" s="1466"/>
      <c r="M96" s="1741"/>
      <c r="N96" s="941"/>
    </row>
    <row r="97" spans="1:14" s="942" customFormat="1" ht="24">
      <c r="A97" s="1201"/>
      <c r="B97" s="1464" t="s">
        <v>1301</v>
      </c>
      <c r="C97" s="1092"/>
      <c r="D97" s="1228"/>
      <c r="E97" s="949"/>
      <c r="F97" s="924" t="s">
        <v>1030</v>
      </c>
      <c r="G97" s="1389"/>
      <c r="H97" s="1389"/>
      <c r="I97" s="1389"/>
      <c r="J97" s="1389"/>
      <c r="K97" s="1467"/>
      <c r="L97" s="1466"/>
      <c r="M97" s="1741"/>
      <c r="N97" s="941"/>
    </row>
    <row r="98" spans="1:14" s="942" customFormat="1" ht="24">
      <c r="A98" s="1462"/>
      <c r="B98" s="1202" t="s">
        <v>1302</v>
      </c>
      <c r="C98" s="1092"/>
      <c r="D98" s="1228"/>
      <c r="E98" s="949"/>
      <c r="F98" s="924" t="s">
        <v>1030</v>
      </c>
      <c r="G98" s="1389"/>
      <c r="H98" s="1389"/>
      <c r="I98" s="1389"/>
      <c r="J98" s="1389"/>
      <c r="K98" s="926"/>
      <c r="L98" s="1466"/>
      <c r="M98" s="1741"/>
      <c r="N98" s="941"/>
    </row>
    <row r="99" spans="1:14" s="942" customFormat="1" ht="24">
      <c r="A99" s="1462" t="s">
        <v>1303</v>
      </c>
      <c r="B99" s="1564" t="s">
        <v>1304</v>
      </c>
      <c r="C99" s="1092"/>
      <c r="D99" s="1228"/>
      <c r="E99" s="949"/>
      <c r="F99" s="924"/>
      <c r="G99" s="1389"/>
      <c r="H99" s="1389"/>
      <c r="I99" s="1389"/>
      <c r="J99" s="1389"/>
      <c r="K99" s="1467"/>
      <c r="L99" s="1466"/>
      <c r="M99" s="1741"/>
      <c r="N99" s="941"/>
    </row>
    <row r="100" spans="1:14" s="942" customFormat="1" ht="24">
      <c r="A100" s="1201"/>
      <c r="B100" s="1464" t="s">
        <v>1305</v>
      </c>
      <c r="C100" s="1092"/>
      <c r="D100" s="1228"/>
      <c r="E100" s="949"/>
      <c r="F100" s="924" t="s">
        <v>240</v>
      </c>
      <c r="G100" s="1389"/>
      <c r="H100" s="1389"/>
      <c r="I100" s="1389"/>
      <c r="J100" s="1389"/>
      <c r="K100" s="1467"/>
      <c r="L100" s="1466"/>
      <c r="M100" s="1741"/>
      <c r="N100" s="941"/>
    </row>
    <row r="101" spans="1:14" s="942" customFormat="1" ht="24">
      <c r="A101" s="1465"/>
      <c r="B101" s="1202" t="s">
        <v>1306</v>
      </c>
      <c r="C101" s="1092"/>
      <c r="D101" s="1228"/>
      <c r="E101" s="949"/>
      <c r="F101" s="924" t="s">
        <v>502</v>
      </c>
      <c r="G101" s="1389"/>
      <c r="H101" s="1389"/>
      <c r="I101" s="1389"/>
      <c r="J101" s="1389"/>
      <c r="K101" s="1467"/>
      <c r="L101" s="1466"/>
      <c r="M101" s="1741"/>
      <c r="N101" s="941"/>
    </row>
    <row r="102" spans="1:14" s="942" customFormat="1" ht="24">
      <c r="A102" s="1465"/>
      <c r="B102" s="1202" t="s">
        <v>1307</v>
      </c>
      <c r="C102" s="1092"/>
      <c r="D102" s="1228"/>
      <c r="E102" s="949"/>
      <c r="F102" s="924" t="s">
        <v>240</v>
      </c>
      <c r="G102" s="1389"/>
      <c r="H102" s="1389"/>
      <c r="I102" s="1389"/>
      <c r="J102" s="1389"/>
      <c r="K102" s="1467"/>
      <c r="L102" s="1466"/>
      <c r="M102" s="1741"/>
      <c r="N102" s="941"/>
    </row>
    <row r="103" spans="1:14" s="942" customFormat="1" ht="24">
      <c r="A103" s="1201"/>
      <c r="B103" s="1202" t="s">
        <v>1308</v>
      </c>
      <c r="C103" s="1092"/>
      <c r="D103" s="945"/>
      <c r="E103" s="949"/>
      <c r="F103" s="924" t="s">
        <v>240</v>
      </c>
      <c r="G103" s="1389"/>
      <c r="H103" s="1389"/>
      <c r="I103" s="1389"/>
      <c r="J103" s="1389"/>
      <c r="K103" s="926"/>
      <c r="L103" s="1466"/>
      <c r="M103" s="1741"/>
      <c r="N103" s="941"/>
    </row>
    <row r="104" spans="1:14" s="942" customFormat="1" ht="24">
      <c r="A104" s="1463"/>
      <c r="B104" s="1202" t="s">
        <v>1302</v>
      </c>
      <c r="C104" s="1092"/>
      <c r="D104" s="1228"/>
      <c r="E104" s="949"/>
      <c r="F104" s="924" t="s">
        <v>1030</v>
      </c>
      <c r="G104" s="1389"/>
      <c r="H104" s="1389"/>
      <c r="I104" s="1389"/>
      <c r="J104" s="1389"/>
      <c r="K104" s="926"/>
      <c r="L104" s="1466"/>
      <c r="M104" s="1741"/>
      <c r="N104" s="941"/>
    </row>
    <row r="105" spans="1:14" s="942" customFormat="1" ht="24">
      <c r="A105" s="1462" t="s">
        <v>1309</v>
      </c>
      <c r="B105" s="1564" t="s">
        <v>1310</v>
      </c>
      <c r="C105" s="1092"/>
      <c r="D105" s="1228"/>
      <c r="E105" s="949"/>
      <c r="F105" s="924"/>
      <c r="G105" s="1389"/>
      <c r="H105" s="1389"/>
      <c r="I105" s="1389"/>
      <c r="J105" s="1389"/>
      <c r="K105" s="1467"/>
      <c r="L105" s="1466"/>
      <c r="M105" s="1741"/>
      <c r="N105" s="941"/>
    </row>
    <row r="106" spans="1:14" s="942" customFormat="1" ht="24">
      <c r="A106" s="1201"/>
      <c r="B106" s="1464" t="s">
        <v>1311</v>
      </c>
      <c r="C106" s="1092"/>
      <c r="D106" s="1228"/>
      <c r="E106" s="949"/>
      <c r="F106" s="924" t="s">
        <v>240</v>
      </c>
      <c r="G106" s="1389"/>
      <c r="H106" s="1389"/>
      <c r="I106" s="1389"/>
      <c r="J106" s="1389"/>
      <c r="K106" s="1467"/>
      <c r="L106" s="1466"/>
      <c r="M106" s="1741"/>
      <c r="N106" s="941"/>
    </row>
    <row r="107" spans="1:14" s="942" customFormat="1" ht="24">
      <c r="A107" s="1463"/>
      <c r="B107" s="1202" t="s">
        <v>1312</v>
      </c>
      <c r="C107" s="1092"/>
      <c r="D107" s="1228"/>
      <c r="E107" s="949"/>
      <c r="F107" s="924" t="s">
        <v>240</v>
      </c>
      <c r="G107" s="1389"/>
      <c r="H107" s="1389"/>
      <c r="I107" s="1389"/>
      <c r="J107" s="1389"/>
      <c r="K107" s="926"/>
      <c r="L107" s="1466"/>
      <c r="M107" s="1741"/>
      <c r="N107" s="941"/>
    </row>
    <row r="108" spans="1:14" s="942" customFormat="1" ht="24">
      <c r="A108" s="1463"/>
      <c r="B108" s="1464" t="s">
        <v>1313</v>
      </c>
      <c r="C108" s="1092"/>
      <c r="D108" s="1228"/>
      <c r="E108" s="949"/>
      <c r="F108" s="924" t="s">
        <v>240</v>
      </c>
      <c r="G108" s="1389"/>
      <c r="H108" s="1389"/>
      <c r="I108" s="1389"/>
      <c r="J108" s="1389"/>
      <c r="K108" s="1467"/>
      <c r="L108" s="1466"/>
      <c r="M108" s="1741"/>
      <c r="N108" s="941"/>
    </row>
    <row r="109" spans="1:14" s="942" customFormat="1" ht="24">
      <c r="A109" s="1201"/>
      <c r="B109" s="1464" t="s">
        <v>1314</v>
      </c>
      <c r="C109" s="1092"/>
      <c r="D109" s="1228"/>
      <c r="E109" s="949"/>
      <c r="F109" s="924" t="s">
        <v>240</v>
      </c>
      <c r="G109" s="1389"/>
      <c r="H109" s="1389"/>
      <c r="I109" s="1389"/>
      <c r="J109" s="1389"/>
      <c r="K109" s="1467"/>
      <c r="L109" s="1466"/>
      <c r="M109" s="1741"/>
      <c r="N109" s="941"/>
    </row>
    <row r="110" spans="1:14" s="942" customFormat="1" ht="24">
      <c r="A110" s="1463"/>
      <c r="B110" s="1202" t="s">
        <v>1315</v>
      </c>
      <c r="C110" s="1092"/>
      <c r="D110" s="1228"/>
      <c r="E110" s="949"/>
      <c r="F110" s="924" t="s">
        <v>240</v>
      </c>
      <c r="G110" s="1389"/>
      <c r="H110" s="1389"/>
      <c r="I110" s="1389"/>
      <c r="J110" s="1389"/>
      <c r="K110" s="926"/>
      <c r="L110" s="1466"/>
      <c r="M110" s="1741"/>
      <c r="N110" s="941"/>
    </row>
    <row r="111" spans="1:14" s="942" customFormat="1" ht="24">
      <c r="A111" s="1201"/>
      <c r="B111" s="1464" t="s">
        <v>1316</v>
      </c>
      <c r="C111" s="1092"/>
      <c r="D111" s="1228"/>
      <c r="E111" s="949"/>
      <c r="F111" s="924" t="s">
        <v>240</v>
      </c>
      <c r="G111" s="1389"/>
      <c r="H111" s="1389"/>
      <c r="I111" s="1389"/>
      <c r="J111" s="1389"/>
      <c r="K111" s="1467"/>
      <c r="L111" s="1466"/>
      <c r="M111" s="1741"/>
      <c r="N111" s="941"/>
    </row>
    <row r="112" spans="1:14" s="942" customFormat="1" ht="24">
      <c r="A112" s="1201"/>
      <c r="B112" s="1464" t="s">
        <v>1317</v>
      </c>
      <c r="C112" s="1092"/>
      <c r="D112" s="1228"/>
      <c r="E112" s="949"/>
      <c r="F112" s="924" t="s">
        <v>240</v>
      </c>
      <c r="G112" s="1389"/>
      <c r="H112" s="1389"/>
      <c r="I112" s="1389"/>
      <c r="J112" s="1389"/>
      <c r="K112" s="1467"/>
      <c r="L112" s="1466"/>
      <c r="M112" s="1741"/>
      <c r="N112" s="941"/>
    </row>
    <row r="113" spans="1:14" s="942" customFormat="1" ht="24">
      <c r="A113" s="1201"/>
      <c r="B113" s="1464" t="s">
        <v>1302</v>
      </c>
      <c r="C113" s="1092"/>
      <c r="D113" s="1228"/>
      <c r="E113" s="949"/>
      <c r="F113" s="924" t="s">
        <v>1030</v>
      </c>
      <c r="G113" s="1389"/>
      <c r="H113" s="1389"/>
      <c r="I113" s="1389"/>
      <c r="J113" s="1389"/>
      <c r="K113" s="1467"/>
      <c r="L113" s="1466"/>
      <c r="M113" s="1741"/>
      <c r="N113" s="941"/>
    </row>
    <row r="114" spans="1:14" s="942" customFormat="1" ht="24">
      <c r="A114" s="1462" t="s">
        <v>1318</v>
      </c>
      <c r="B114" s="1564" t="s">
        <v>1319</v>
      </c>
      <c r="C114" s="1092"/>
      <c r="D114" s="1228"/>
      <c r="E114" s="949"/>
      <c r="F114" s="924"/>
      <c r="G114" s="1389"/>
      <c r="H114" s="1389"/>
      <c r="I114" s="1389"/>
      <c r="J114" s="1389"/>
      <c r="K114" s="1467"/>
      <c r="L114" s="1466"/>
      <c r="M114" s="1741"/>
      <c r="N114" s="941"/>
    </row>
    <row r="115" spans="1:14" s="942" customFormat="1" ht="24">
      <c r="A115" s="1201"/>
      <c r="B115" s="1464" t="s">
        <v>1320</v>
      </c>
      <c r="C115" s="1092"/>
      <c r="D115" s="1228"/>
      <c r="E115" s="949"/>
      <c r="F115" s="924" t="s">
        <v>185</v>
      </c>
      <c r="G115" s="1389"/>
      <c r="H115" s="1389"/>
      <c r="I115" s="1389"/>
      <c r="J115" s="1389"/>
      <c r="K115" s="1467"/>
      <c r="L115" s="1466"/>
      <c r="M115" s="1741"/>
      <c r="N115" s="941"/>
    </row>
    <row r="116" spans="1:14" s="942" customFormat="1" ht="24">
      <c r="A116" s="1201"/>
      <c r="B116" s="1464" t="s">
        <v>1321</v>
      </c>
      <c r="C116" s="1092"/>
      <c r="D116" s="1228"/>
      <c r="E116" s="949"/>
      <c r="F116" s="924" t="s">
        <v>185</v>
      </c>
      <c r="G116" s="1389"/>
      <c r="H116" s="1389"/>
      <c r="I116" s="1389"/>
      <c r="J116" s="1389"/>
      <c r="K116" s="1467"/>
      <c r="L116" s="1466"/>
      <c r="M116" s="1741"/>
      <c r="N116" s="941"/>
    </row>
    <row r="117" spans="1:14" s="942" customFormat="1" ht="24">
      <c r="A117" s="1201"/>
      <c r="B117" s="1464" t="s">
        <v>1322</v>
      </c>
      <c r="C117" s="1092"/>
      <c r="D117" s="1228"/>
      <c r="E117" s="949"/>
      <c r="F117" s="924" t="s">
        <v>1030</v>
      </c>
      <c r="G117" s="1389"/>
      <c r="H117" s="1389"/>
      <c r="I117" s="1389"/>
      <c r="J117" s="1389"/>
      <c r="K117" s="1467"/>
      <c r="L117" s="1466"/>
      <c r="M117" s="1741"/>
      <c r="N117" s="941"/>
    </row>
    <row r="118" spans="1:14" s="942" customFormat="1" ht="24">
      <c r="A118" s="1201"/>
      <c r="B118" s="1464" t="s">
        <v>1302</v>
      </c>
      <c r="C118" s="1092"/>
      <c r="D118" s="1228"/>
      <c r="E118" s="949"/>
      <c r="F118" s="924" t="s">
        <v>1030</v>
      </c>
      <c r="G118" s="1389"/>
      <c r="H118" s="1389"/>
      <c r="I118" s="1389"/>
      <c r="J118" s="1389"/>
      <c r="K118" s="1467"/>
      <c r="L118" s="1466"/>
      <c r="M118" s="1741"/>
      <c r="N118" s="941"/>
    </row>
    <row r="119" spans="1:14" s="942" customFormat="1" ht="24">
      <c r="A119" s="1462" t="s">
        <v>1323</v>
      </c>
      <c r="B119" s="1564" t="s">
        <v>1324</v>
      </c>
      <c r="C119" s="1092"/>
      <c r="D119" s="1228"/>
      <c r="E119" s="949"/>
      <c r="F119" s="924"/>
      <c r="G119" s="1389"/>
      <c r="H119" s="1389"/>
      <c r="I119" s="1389"/>
      <c r="J119" s="1389"/>
      <c r="K119" s="1467"/>
      <c r="L119" s="1466"/>
      <c r="M119" s="1741"/>
      <c r="N119" s="941"/>
    </row>
    <row r="120" spans="1:14" s="942" customFormat="1" ht="24">
      <c r="A120" s="1201"/>
      <c r="B120" s="1464" t="s">
        <v>1325</v>
      </c>
      <c r="C120" s="1092"/>
      <c r="D120" s="1228"/>
      <c r="E120" s="949"/>
      <c r="F120" s="924" t="s">
        <v>185</v>
      </c>
      <c r="G120" s="1389"/>
      <c r="H120" s="1389"/>
      <c r="I120" s="1389"/>
      <c r="J120" s="1389"/>
      <c r="K120" s="1467"/>
      <c r="L120" s="1466"/>
      <c r="M120" s="1741"/>
      <c r="N120" s="941"/>
    </row>
    <row r="121" spans="1:14" s="942" customFormat="1" ht="24">
      <c r="A121" s="1201"/>
      <c r="B121" s="1464" t="s">
        <v>1326</v>
      </c>
      <c r="C121" s="1092"/>
      <c r="D121" s="1228"/>
      <c r="E121" s="949"/>
      <c r="F121" s="924" t="s">
        <v>185</v>
      </c>
      <c r="G121" s="1389"/>
      <c r="H121" s="1389"/>
      <c r="I121" s="1389"/>
      <c r="J121" s="1389"/>
      <c r="K121" s="1467"/>
      <c r="L121" s="1466"/>
      <c r="M121" s="1741"/>
      <c r="N121" s="941"/>
    </row>
    <row r="122" spans="1:14" s="942" customFormat="1" ht="24">
      <c r="A122" s="1201"/>
      <c r="B122" s="1464" t="s">
        <v>1302</v>
      </c>
      <c r="C122" s="1092"/>
      <c r="D122" s="1228"/>
      <c r="E122" s="949"/>
      <c r="F122" s="924" t="s">
        <v>1030</v>
      </c>
      <c r="G122" s="1389"/>
      <c r="H122" s="1389"/>
      <c r="I122" s="1389"/>
      <c r="J122" s="1389"/>
      <c r="K122" s="1467"/>
      <c r="L122" s="1466"/>
      <c r="M122" s="1741"/>
      <c r="N122" s="941"/>
    </row>
    <row r="123" spans="1:14" s="942" customFormat="1" ht="24">
      <c r="A123" s="1201"/>
      <c r="B123" s="1464"/>
      <c r="C123" s="1092"/>
      <c r="D123" s="1228"/>
      <c r="E123" s="949"/>
      <c r="F123" s="924"/>
      <c r="G123" s="1389"/>
      <c r="H123" s="1389"/>
      <c r="I123" s="1389"/>
      <c r="J123" s="1389"/>
      <c r="K123" s="1467"/>
      <c r="L123" s="1466"/>
      <c r="M123" s="1741"/>
      <c r="N123" s="941"/>
    </row>
    <row r="124" spans="1:14" s="942" customFormat="1" ht="24">
      <c r="A124" s="1552">
        <v>12.4</v>
      </c>
      <c r="B124" s="1564" t="s">
        <v>1327</v>
      </c>
      <c r="C124" s="1092"/>
      <c r="D124" s="1228"/>
      <c r="E124" s="949"/>
      <c r="F124" s="924"/>
      <c r="G124" s="1389"/>
      <c r="H124" s="1389"/>
      <c r="I124" s="1389"/>
      <c r="J124" s="1389"/>
      <c r="K124" s="1467"/>
      <c r="L124" s="1466"/>
      <c r="M124" s="1741"/>
      <c r="N124" s="941"/>
    </row>
    <row r="125" spans="1:14" s="942" customFormat="1" ht="24">
      <c r="A125" s="1462" t="s">
        <v>1328</v>
      </c>
      <c r="B125" s="1564" t="s">
        <v>1329</v>
      </c>
      <c r="C125" s="1092"/>
      <c r="D125" s="1228"/>
      <c r="E125" s="949"/>
      <c r="F125" s="924"/>
      <c r="G125" s="1389"/>
      <c r="H125" s="1389"/>
      <c r="I125" s="1389"/>
      <c r="J125" s="1389"/>
      <c r="K125" s="1467"/>
      <c r="L125" s="1466"/>
      <c r="M125" s="1741"/>
      <c r="N125" s="941"/>
    </row>
    <row r="126" spans="1:14" s="942" customFormat="1" ht="24">
      <c r="A126" s="1566" t="s">
        <v>282</v>
      </c>
      <c r="B126" s="1464" t="s">
        <v>1330</v>
      </c>
      <c r="C126" s="1092"/>
      <c r="D126" s="1228"/>
      <c r="E126" s="949"/>
      <c r="F126" s="924" t="s">
        <v>481</v>
      </c>
      <c r="G126" s="1389"/>
      <c r="H126" s="1389"/>
      <c r="I126" s="1389"/>
      <c r="J126" s="1389"/>
      <c r="K126" s="1467"/>
      <c r="L126" s="1466"/>
      <c r="M126" s="1741"/>
      <c r="N126" s="941"/>
    </row>
    <row r="127" spans="1:14" s="942" customFormat="1" ht="24">
      <c r="A127" s="1566" t="s">
        <v>282</v>
      </c>
      <c r="B127" s="1464" t="s">
        <v>1331</v>
      </c>
      <c r="C127" s="1092"/>
      <c r="D127" s="1228"/>
      <c r="E127" s="949"/>
      <c r="F127" s="924" t="s">
        <v>1030</v>
      </c>
      <c r="G127" s="1389"/>
      <c r="H127" s="1389"/>
      <c r="I127" s="1389"/>
      <c r="J127" s="1389"/>
      <c r="K127" s="1467"/>
      <c r="L127" s="1466"/>
      <c r="M127" s="1741"/>
      <c r="N127" s="941"/>
    </row>
    <row r="128" spans="1:14" s="942" customFormat="1" ht="24">
      <c r="A128" s="1462" t="s">
        <v>1332</v>
      </c>
      <c r="B128" s="1564" t="s">
        <v>1333</v>
      </c>
      <c r="C128" s="1092"/>
      <c r="D128" s="1228"/>
      <c r="E128" s="949"/>
      <c r="F128" s="924"/>
      <c r="G128" s="1389"/>
      <c r="H128" s="1389"/>
      <c r="I128" s="1389"/>
      <c r="J128" s="1389"/>
      <c r="K128" s="1467"/>
      <c r="L128" s="1466"/>
      <c r="M128" s="1741"/>
      <c r="N128" s="941"/>
    </row>
    <row r="129" spans="1:14" s="942" customFormat="1" ht="24">
      <c r="A129" s="1201"/>
      <c r="B129" s="1564" t="s">
        <v>1334</v>
      </c>
      <c r="C129" s="1092"/>
      <c r="D129" s="1228"/>
      <c r="E129" s="949"/>
      <c r="F129" s="924"/>
      <c r="G129" s="1389"/>
      <c r="H129" s="1389"/>
      <c r="I129" s="1389"/>
      <c r="J129" s="1389"/>
      <c r="K129" s="1467"/>
      <c r="L129" s="1466"/>
      <c r="M129" s="1741"/>
      <c r="N129" s="941"/>
    </row>
    <row r="130" spans="1:14" s="942" customFormat="1" ht="24">
      <c r="A130" s="1566" t="s">
        <v>282</v>
      </c>
      <c r="B130" s="1464" t="s">
        <v>1335</v>
      </c>
      <c r="C130" s="1092"/>
      <c r="D130" s="1228"/>
      <c r="E130" s="949"/>
      <c r="F130" s="924" t="s">
        <v>185</v>
      </c>
      <c r="G130" s="1389"/>
      <c r="H130" s="1389"/>
      <c r="I130" s="1389"/>
      <c r="J130" s="1389"/>
      <c r="K130" s="1467"/>
      <c r="L130" s="1466"/>
      <c r="M130" s="1741"/>
      <c r="N130" s="941"/>
    </row>
    <row r="131" spans="1:14" s="942" customFormat="1" ht="24">
      <c r="A131" s="1566" t="s">
        <v>282</v>
      </c>
      <c r="B131" s="1464" t="s">
        <v>1336</v>
      </c>
      <c r="C131" s="1092"/>
      <c r="D131" s="1228"/>
      <c r="E131" s="949"/>
      <c r="F131" s="924" t="s">
        <v>185</v>
      </c>
      <c r="G131" s="1389"/>
      <c r="H131" s="1389"/>
      <c r="I131" s="1389"/>
      <c r="J131" s="1389"/>
      <c r="K131" s="1467"/>
      <c r="L131" s="1466"/>
      <c r="M131" s="1741"/>
      <c r="N131" s="941"/>
    </row>
    <row r="132" spans="1:14" s="942" customFormat="1" ht="24">
      <c r="A132" s="1566" t="s">
        <v>282</v>
      </c>
      <c r="B132" s="1464" t="s">
        <v>1337</v>
      </c>
      <c r="C132" s="1092"/>
      <c r="D132" s="1228"/>
      <c r="E132" s="949"/>
      <c r="F132" s="924" t="s">
        <v>1030</v>
      </c>
      <c r="G132" s="1389"/>
      <c r="H132" s="1389"/>
      <c r="I132" s="1389"/>
      <c r="J132" s="1389"/>
      <c r="K132" s="1467"/>
      <c r="L132" s="1466"/>
      <c r="M132" s="1741"/>
      <c r="N132" s="941"/>
    </row>
    <row r="133" spans="1:14" s="942" customFormat="1" ht="24">
      <c r="A133" s="1566" t="s">
        <v>282</v>
      </c>
      <c r="B133" s="1464" t="s">
        <v>1338</v>
      </c>
      <c r="C133" s="1092"/>
      <c r="D133" s="1228"/>
      <c r="E133" s="949"/>
      <c r="F133" s="924" t="s">
        <v>1030</v>
      </c>
      <c r="G133" s="1389"/>
      <c r="H133" s="1389"/>
      <c r="I133" s="1389"/>
      <c r="J133" s="1389"/>
      <c r="K133" s="1467"/>
      <c r="L133" s="1466"/>
      <c r="M133" s="1741"/>
      <c r="N133" s="941"/>
    </row>
    <row r="134" spans="1:14" s="942" customFormat="1" ht="24">
      <c r="A134" s="1462" t="s">
        <v>1339</v>
      </c>
      <c r="B134" s="1564" t="s">
        <v>1340</v>
      </c>
      <c r="C134" s="1092"/>
      <c r="D134" s="1228"/>
      <c r="E134" s="949"/>
      <c r="F134" s="924"/>
      <c r="G134" s="1389"/>
      <c r="H134" s="1389"/>
      <c r="I134" s="1389"/>
      <c r="J134" s="1389"/>
      <c r="K134" s="1467"/>
      <c r="L134" s="1466"/>
      <c r="M134" s="1741"/>
      <c r="N134" s="941"/>
    </row>
    <row r="135" spans="1:14" s="942" customFormat="1" ht="24">
      <c r="A135" s="1201"/>
      <c r="B135" s="1564" t="s">
        <v>1341</v>
      </c>
      <c r="C135" s="1092"/>
      <c r="D135" s="1228"/>
      <c r="E135" s="949"/>
      <c r="F135" s="924"/>
      <c r="G135" s="1389"/>
      <c r="H135" s="1389"/>
      <c r="I135" s="1389"/>
      <c r="J135" s="1389"/>
      <c r="K135" s="1467"/>
      <c r="L135" s="1466"/>
      <c r="M135" s="1741"/>
      <c r="N135" s="941"/>
    </row>
    <row r="136" spans="1:14" s="942" customFormat="1" ht="24">
      <c r="A136" s="1201"/>
      <c r="B136" s="1464" t="s">
        <v>1342</v>
      </c>
      <c r="C136" s="1092"/>
      <c r="D136" s="1228"/>
      <c r="E136" s="949"/>
      <c r="F136" s="924"/>
      <c r="G136" s="1389"/>
      <c r="H136" s="1389"/>
      <c r="I136" s="1389"/>
      <c r="J136" s="1389"/>
      <c r="K136" s="1467"/>
      <c r="L136" s="1466"/>
      <c r="M136" s="1741"/>
      <c r="N136" s="941"/>
    </row>
    <row r="137" spans="1:14" s="942" customFormat="1" ht="24">
      <c r="A137" s="1566" t="s">
        <v>282</v>
      </c>
      <c r="B137" s="1464" t="s">
        <v>1343</v>
      </c>
      <c r="C137" s="1092"/>
      <c r="D137" s="1228"/>
      <c r="E137" s="949"/>
      <c r="F137" s="924" t="s">
        <v>185</v>
      </c>
      <c r="G137" s="1389"/>
      <c r="H137" s="1389"/>
      <c r="I137" s="1389"/>
      <c r="J137" s="1389"/>
      <c r="K137" s="1467"/>
      <c r="L137" s="1466"/>
      <c r="M137" s="1741"/>
      <c r="N137" s="941"/>
    </row>
    <row r="138" spans="1:14" s="942" customFormat="1" ht="24">
      <c r="A138" s="1566" t="s">
        <v>282</v>
      </c>
      <c r="B138" s="1464" t="s">
        <v>1344</v>
      </c>
      <c r="C138" s="1092"/>
      <c r="D138" s="1228"/>
      <c r="E138" s="949"/>
      <c r="F138" s="924" t="s">
        <v>185</v>
      </c>
      <c r="G138" s="1389"/>
      <c r="H138" s="1389"/>
      <c r="I138" s="1389"/>
      <c r="J138" s="1389"/>
      <c r="K138" s="1467"/>
      <c r="L138" s="1466"/>
      <c r="M138" s="1741"/>
      <c r="N138" s="941"/>
    </row>
    <row r="139" spans="1:14" s="942" customFormat="1" ht="24">
      <c r="A139" s="1566" t="s">
        <v>282</v>
      </c>
      <c r="B139" s="1564" t="s">
        <v>1345</v>
      </c>
      <c r="C139" s="1092"/>
      <c r="D139" s="1228"/>
      <c r="E139" s="949"/>
      <c r="F139" s="924" t="s">
        <v>1030</v>
      </c>
      <c r="G139" s="1389"/>
      <c r="H139" s="1389"/>
      <c r="I139" s="1389"/>
      <c r="J139" s="1389"/>
      <c r="K139" s="1467"/>
      <c r="L139" s="1466"/>
      <c r="M139" s="1741"/>
      <c r="N139" s="941"/>
    </row>
    <row r="140" spans="1:14" s="942" customFormat="1" ht="24">
      <c r="A140" s="1462" t="s">
        <v>1346</v>
      </c>
      <c r="B140" s="1464" t="s">
        <v>1347</v>
      </c>
      <c r="C140" s="1092"/>
      <c r="D140" s="1228"/>
      <c r="E140" s="949"/>
      <c r="F140" s="924"/>
      <c r="G140" s="1389"/>
      <c r="H140" s="1389"/>
      <c r="I140" s="1389"/>
      <c r="J140" s="1389"/>
      <c r="K140" s="1467"/>
      <c r="L140" s="1466"/>
      <c r="M140" s="1741"/>
      <c r="N140" s="941"/>
    </row>
    <row r="141" spans="1:14" s="942" customFormat="1" ht="24">
      <c r="A141" s="1566" t="s">
        <v>282</v>
      </c>
      <c r="B141" s="1464" t="s">
        <v>1348</v>
      </c>
      <c r="C141" s="1092"/>
      <c r="D141" s="1228"/>
      <c r="E141" s="949"/>
      <c r="F141" s="924" t="s">
        <v>185</v>
      </c>
      <c r="G141" s="1389"/>
      <c r="H141" s="1389"/>
      <c r="I141" s="1389"/>
      <c r="J141" s="1389"/>
      <c r="K141" s="1467"/>
      <c r="L141" s="1466"/>
      <c r="M141" s="1741"/>
      <c r="N141" s="941"/>
    </row>
    <row r="142" spans="1:14" s="942" customFormat="1" ht="24">
      <c r="A142" s="1566" t="s">
        <v>282</v>
      </c>
      <c r="B142" s="1464" t="s">
        <v>1338</v>
      </c>
      <c r="C142" s="1092"/>
      <c r="D142" s="1228"/>
      <c r="E142" s="949"/>
      <c r="F142" s="924" t="s">
        <v>1030</v>
      </c>
      <c r="G142" s="1389"/>
      <c r="H142" s="1389"/>
      <c r="I142" s="1389"/>
      <c r="J142" s="1389"/>
      <c r="K142" s="1467"/>
      <c r="L142" s="1466"/>
      <c r="M142" s="1741"/>
      <c r="N142" s="941"/>
    </row>
    <row r="143" spans="1:14" s="942" customFormat="1" ht="24">
      <c r="A143" s="1566" t="s">
        <v>282</v>
      </c>
      <c r="B143" s="1564" t="s">
        <v>1340</v>
      </c>
      <c r="C143" s="1092"/>
      <c r="D143" s="1228"/>
      <c r="E143" s="949"/>
      <c r="F143" s="924" t="s">
        <v>1030</v>
      </c>
      <c r="G143" s="1389"/>
      <c r="H143" s="1389"/>
      <c r="I143" s="1389"/>
      <c r="J143" s="1389"/>
      <c r="K143" s="1467"/>
      <c r="L143" s="1466"/>
      <c r="M143" s="1741"/>
      <c r="N143" s="941"/>
    </row>
    <row r="144" spans="1:14" s="942" customFormat="1" ht="24">
      <c r="A144" s="1462" t="s">
        <v>1349</v>
      </c>
      <c r="B144" s="1464" t="s">
        <v>1350</v>
      </c>
      <c r="C144" s="1092"/>
      <c r="D144" s="1228"/>
      <c r="E144" s="949"/>
      <c r="F144" s="924"/>
      <c r="G144" s="1389"/>
      <c r="H144" s="1389"/>
      <c r="I144" s="1389"/>
      <c r="J144" s="1389"/>
      <c r="K144" s="1467"/>
      <c r="L144" s="1466"/>
      <c r="M144" s="1741"/>
      <c r="N144" s="941"/>
    </row>
    <row r="145" spans="1:14" s="942" customFormat="1" ht="24">
      <c r="A145" s="1566" t="s">
        <v>282</v>
      </c>
      <c r="B145" s="1464" t="s">
        <v>1351</v>
      </c>
      <c r="C145" s="1092"/>
      <c r="D145" s="1228"/>
      <c r="E145" s="949"/>
      <c r="F145" s="924" t="s">
        <v>185</v>
      </c>
      <c r="G145" s="1389"/>
      <c r="H145" s="1389"/>
      <c r="I145" s="1389"/>
      <c r="J145" s="1389"/>
      <c r="K145" s="1467"/>
      <c r="L145" s="1466"/>
      <c r="M145" s="1741"/>
      <c r="N145" s="941"/>
    </row>
    <row r="146" spans="1:14" s="942" customFormat="1" ht="24">
      <c r="A146" s="1566" t="s">
        <v>282</v>
      </c>
      <c r="B146" s="1564" t="s">
        <v>1345</v>
      </c>
      <c r="C146" s="1092"/>
      <c r="D146" s="1228"/>
      <c r="E146" s="949"/>
      <c r="F146" s="924" t="s">
        <v>1030</v>
      </c>
      <c r="G146" s="1389"/>
      <c r="H146" s="1389"/>
      <c r="I146" s="1389"/>
      <c r="J146" s="1389"/>
      <c r="K146" s="1467"/>
      <c r="L146" s="1466"/>
      <c r="M146" s="1741"/>
      <c r="N146" s="941"/>
    </row>
    <row r="147" spans="1:14" s="942" customFormat="1" ht="24">
      <c r="A147" s="1462" t="s">
        <v>1352</v>
      </c>
      <c r="B147" s="1464" t="s">
        <v>1353</v>
      </c>
      <c r="C147" s="1092"/>
      <c r="D147" s="1228"/>
      <c r="E147" s="949"/>
      <c r="F147" s="924"/>
      <c r="G147" s="1389"/>
      <c r="H147" s="1389"/>
      <c r="I147" s="1389"/>
      <c r="J147" s="1389"/>
      <c r="K147" s="1467"/>
      <c r="L147" s="1466"/>
      <c r="M147" s="1741"/>
      <c r="N147" s="941"/>
    </row>
    <row r="148" spans="1:14" s="942" customFormat="1" ht="24">
      <c r="A148" s="1566" t="s">
        <v>282</v>
      </c>
      <c r="B148" s="1464" t="s">
        <v>1354</v>
      </c>
      <c r="C148" s="1092"/>
      <c r="D148" s="1228"/>
      <c r="E148" s="949"/>
      <c r="F148" s="924" t="s">
        <v>185</v>
      </c>
      <c r="G148" s="1389"/>
      <c r="H148" s="1389"/>
      <c r="I148" s="1389"/>
      <c r="J148" s="1389"/>
      <c r="K148" s="1467"/>
      <c r="L148" s="1466"/>
      <c r="M148" s="1741"/>
      <c r="N148" s="941"/>
    </row>
    <row r="149" spans="1:14" s="942" customFormat="1" ht="24">
      <c r="A149" s="1566" t="s">
        <v>282</v>
      </c>
      <c r="B149" s="1464" t="s">
        <v>1355</v>
      </c>
      <c r="C149" s="1092"/>
      <c r="D149" s="1228"/>
      <c r="E149" s="949"/>
      <c r="F149" s="924" t="s">
        <v>1356</v>
      </c>
      <c r="G149" s="1389"/>
      <c r="H149" s="1389"/>
      <c r="I149" s="1389"/>
      <c r="J149" s="1389"/>
      <c r="K149" s="1467"/>
      <c r="L149" s="1466"/>
      <c r="M149" s="1741"/>
      <c r="N149" s="941"/>
    </row>
    <row r="150" spans="1:14" s="942" customFormat="1" ht="24">
      <c r="A150" s="1462" t="s">
        <v>1357</v>
      </c>
      <c r="B150" s="1564" t="s">
        <v>1358</v>
      </c>
      <c r="C150" s="1092"/>
      <c r="D150" s="1228"/>
      <c r="E150" s="949"/>
      <c r="F150" s="924"/>
      <c r="G150" s="1389"/>
      <c r="H150" s="1389"/>
      <c r="I150" s="1389"/>
      <c r="J150" s="1389"/>
      <c r="K150" s="1467"/>
      <c r="L150" s="1466"/>
      <c r="M150" s="1741"/>
      <c r="N150" s="941"/>
    </row>
    <row r="151" spans="1:14" s="942" customFormat="1" ht="24">
      <c r="A151" s="1201"/>
      <c r="B151" s="1564" t="s">
        <v>1359</v>
      </c>
      <c r="C151" s="1092"/>
      <c r="D151" s="1228"/>
      <c r="E151" s="949"/>
      <c r="F151" s="924"/>
      <c r="G151" s="1389"/>
      <c r="H151" s="1389"/>
      <c r="I151" s="1389"/>
      <c r="J151" s="1389"/>
      <c r="K151" s="1467"/>
      <c r="L151" s="1466"/>
      <c r="M151" s="1741"/>
      <c r="N151" s="941"/>
    </row>
    <row r="152" spans="1:14" s="942" customFormat="1" ht="24">
      <c r="A152" s="1566" t="s">
        <v>282</v>
      </c>
      <c r="B152" s="1464" t="s">
        <v>1360</v>
      </c>
      <c r="C152" s="1092"/>
      <c r="D152" s="1228"/>
      <c r="E152" s="949"/>
      <c r="F152" s="924" t="s">
        <v>481</v>
      </c>
      <c r="G152" s="1389"/>
      <c r="H152" s="1389"/>
      <c r="I152" s="1389"/>
      <c r="J152" s="1389"/>
      <c r="K152" s="1467"/>
      <c r="L152" s="1466"/>
      <c r="M152" s="1741"/>
      <c r="N152" s="941"/>
    </row>
    <row r="153" spans="1:14" s="942" customFormat="1" ht="24">
      <c r="A153" s="1462" t="s">
        <v>1361</v>
      </c>
      <c r="B153" s="1464" t="s">
        <v>1362</v>
      </c>
      <c r="C153" s="1092"/>
      <c r="D153" s="1228"/>
      <c r="E153" s="949"/>
      <c r="F153" s="924"/>
      <c r="G153" s="1389"/>
      <c r="H153" s="1389"/>
      <c r="I153" s="1389"/>
      <c r="J153" s="1389"/>
      <c r="K153" s="1467"/>
      <c r="L153" s="1466"/>
      <c r="M153" s="1741"/>
      <c r="N153" s="941"/>
    </row>
    <row r="154" spans="1:14" s="942" customFormat="1" ht="24">
      <c r="A154" s="1566" t="s">
        <v>282</v>
      </c>
      <c r="B154" s="1464" t="s">
        <v>1363</v>
      </c>
      <c r="C154" s="1092"/>
      <c r="D154" s="1228"/>
      <c r="E154" s="949"/>
      <c r="F154" s="924" t="s">
        <v>185</v>
      </c>
      <c r="G154" s="1389"/>
      <c r="H154" s="1389"/>
      <c r="I154" s="1389"/>
      <c r="J154" s="1389"/>
      <c r="K154" s="1467"/>
      <c r="L154" s="1466"/>
      <c r="M154" s="1741"/>
      <c r="N154" s="941"/>
    </row>
    <row r="155" spans="1:14" s="942" customFormat="1" ht="24">
      <c r="A155" s="1566" t="s">
        <v>282</v>
      </c>
      <c r="B155" s="1464" t="s">
        <v>1364</v>
      </c>
      <c r="C155" s="1092"/>
      <c r="D155" s="1228"/>
      <c r="E155" s="949"/>
      <c r="F155" s="924" t="s">
        <v>185</v>
      </c>
      <c r="G155" s="1389"/>
      <c r="H155" s="1389"/>
      <c r="I155" s="1389"/>
      <c r="J155" s="1389"/>
      <c r="K155" s="1467"/>
      <c r="L155" s="1466"/>
      <c r="M155" s="1741"/>
      <c r="N155" s="941"/>
    </row>
    <row r="156" spans="1:14" s="942" customFormat="1" ht="24">
      <c r="A156" s="1566" t="s">
        <v>282</v>
      </c>
      <c r="B156" s="1464" t="s">
        <v>1365</v>
      </c>
      <c r="C156" s="1092"/>
      <c r="D156" s="1228"/>
      <c r="E156" s="949"/>
      <c r="F156" s="924" t="s">
        <v>1030</v>
      </c>
      <c r="G156" s="1389"/>
      <c r="H156" s="1389"/>
      <c r="I156" s="1389"/>
      <c r="J156" s="1389"/>
      <c r="K156" s="1467"/>
      <c r="L156" s="1466"/>
      <c r="M156" s="1741"/>
      <c r="N156" s="941"/>
    </row>
    <row r="157" spans="1:14" s="942" customFormat="1" ht="24">
      <c r="A157" s="1462" t="s">
        <v>1366</v>
      </c>
      <c r="B157" s="1464" t="s">
        <v>1367</v>
      </c>
      <c r="C157" s="1092"/>
      <c r="D157" s="1228"/>
      <c r="E157" s="949"/>
      <c r="F157" s="924"/>
      <c r="G157" s="1389"/>
      <c r="H157" s="1389"/>
      <c r="I157" s="1389"/>
      <c r="J157" s="1389"/>
      <c r="K157" s="1467"/>
      <c r="L157" s="1466"/>
      <c r="M157" s="1741"/>
      <c r="N157" s="941"/>
    </row>
    <row r="158" spans="1:14" s="942" customFormat="1" ht="24">
      <c r="A158" s="1566" t="s">
        <v>282</v>
      </c>
      <c r="B158" s="1464" t="s">
        <v>1368</v>
      </c>
      <c r="C158" s="1092"/>
      <c r="D158" s="1228"/>
      <c r="E158" s="949"/>
      <c r="F158" s="924" t="s">
        <v>1030</v>
      </c>
      <c r="G158" s="1389"/>
      <c r="H158" s="1389"/>
      <c r="I158" s="1389"/>
      <c r="J158" s="1389"/>
      <c r="K158" s="1467"/>
      <c r="L158" s="1466"/>
      <c r="M158" s="1741"/>
      <c r="N158" s="941"/>
    </row>
    <row r="159" spans="1:14" s="942" customFormat="1" ht="24">
      <c r="A159" s="1566" t="s">
        <v>282</v>
      </c>
      <c r="B159" s="1464" t="s">
        <v>1369</v>
      </c>
      <c r="C159" s="1092"/>
      <c r="D159" s="1228"/>
      <c r="E159" s="949"/>
      <c r="F159" s="924" t="s">
        <v>1030</v>
      </c>
      <c r="G159" s="1389"/>
      <c r="H159" s="1389"/>
      <c r="I159" s="1389"/>
      <c r="J159" s="1389"/>
      <c r="K159" s="1467"/>
      <c r="L159" s="1466"/>
      <c r="M159" s="1741"/>
      <c r="N159" s="941"/>
    </row>
    <row r="160" spans="1:14" s="942" customFormat="1" ht="24">
      <c r="A160" s="1201"/>
      <c r="B160" s="1564" t="s">
        <v>1370</v>
      </c>
      <c r="C160" s="1092"/>
      <c r="D160" s="1228"/>
      <c r="E160" s="949"/>
      <c r="F160" s="924"/>
      <c r="G160" s="1389"/>
      <c r="H160" s="1389"/>
      <c r="I160" s="1389"/>
      <c r="J160" s="1389"/>
      <c r="K160" s="1467"/>
      <c r="L160" s="1466"/>
      <c r="M160" s="1741"/>
      <c r="N160" s="941"/>
    </row>
    <row r="161" spans="1:21" s="942" customFormat="1" ht="24">
      <c r="A161" s="1201"/>
      <c r="B161" s="1564" t="s">
        <v>1371</v>
      </c>
      <c r="C161" s="1092"/>
      <c r="D161" s="1228"/>
      <c r="E161" s="949"/>
      <c r="F161" s="924"/>
      <c r="G161" s="1389"/>
      <c r="H161" s="1389"/>
      <c r="I161" s="1389"/>
      <c r="J161" s="1389"/>
      <c r="K161" s="1467"/>
      <c r="L161" s="1466"/>
      <c r="M161" s="1741"/>
      <c r="N161" s="941"/>
    </row>
    <row r="162" spans="1:21" s="942" customFormat="1" ht="24">
      <c r="A162" s="1566" t="s">
        <v>282</v>
      </c>
      <c r="B162" s="1464" t="s">
        <v>1372</v>
      </c>
      <c r="C162" s="1092"/>
      <c r="D162" s="1228"/>
      <c r="E162" s="949"/>
      <c r="F162" s="924" t="s">
        <v>481</v>
      </c>
      <c r="G162" s="1389"/>
      <c r="H162" s="1389"/>
      <c r="I162" s="1389"/>
      <c r="J162" s="1389"/>
      <c r="K162" s="1467"/>
      <c r="L162" s="1466"/>
      <c r="M162" s="1741"/>
      <c r="N162" s="941"/>
    </row>
    <row r="163" spans="1:21" s="942" customFormat="1" ht="24">
      <c r="A163" s="1566" t="s">
        <v>282</v>
      </c>
      <c r="B163" s="1464" t="s">
        <v>1331</v>
      </c>
      <c r="C163" s="1092"/>
      <c r="D163" s="1228"/>
      <c r="E163" s="949"/>
      <c r="F163" s="924" t="s">
        <v>1030</v>
      </c>
      <c r="G163" s="1389"/>
      <c r="H163" s="1389"/>
      <c r="I163" s="1389"/>
      <c r="J163" s="1389"/>
      <c r="K163" s="1467"/>
      <c r="L163" s="1466"/>
      <c r="M163" s="1741"/>
      <c r="N163" s="941"/>
    </row>
    <row r="164" spans="1:21" s="942" customFormat="1" ht="24">
      <c r="A164" s="1201"/>
      <c r="B164" s="1564" t="s">
        <v>1358</v>
      </c>
      <c r="C164" s="1092"/>
      <c r="D164" s="1228"/>
      <c r="E164" s="949"/>
      <c r="F164" s="924"/>
      <c r="G164" s="1389"/>
      <c r="H164" s="1389"/>
      <c r="I164" s="1389"/>
      <c r="J164" s="1389"/>
      <c r="K164" s="1467"/>
      <c r="L164" s="1466"/>
      <c r="M164" s="1741"/>
      <c r="N164" s="941"/>
    </row>
    <row r="165" spans="1:21" s="942" customFormat="1" ht="24">
      <c r="A165" s="1201"/>
      <c r="B165" s="1564" t="s">
        <v>1373</v>
      </c>
      <c r="C165" s="1092"/>
      <c r="D165" s="1228"/>
      <c r="E165" s="949"/>
      <c r="F165" s="924"/>
      <c r="G165" s="1389"/>
      <c r="H165" s="1389"/>
      <c r="I165" s="1389"/>
      <c r="J165" s="1389"/>
      <c r="K165" s="1467"/>
      <c r="L165" s="1466"/>
      <c r="M165" s="1741"/>
      <c r="N165" s="941"/>
    </row>
    <row r="166" spans="1:21" s="942" customFormat="1" ht="24">
      <c r="A166" s="1566" t="s">
        <v>282</v>
      </c>
      <c r="B166" s="1464" t="s">
        <v>1374</v>
      </c>
      <c r="C166" s="1092"/>
      <c r="D166" s="1228"/>
      <c r="E166" s="949"/>
      <c r="F166" s="924" t="s">
        <v>481</v>
      </c>
      <c r="G166" s="1389"/>
      <c r="H166" s="1389"/>
      <c r="I166" s="1389"/>
      <c r="J166" s="1389"/>
      <c r="K166" s="1467"/>
      <c r="L166" s="1466"/>
      <c r="M166" s="1741"/>
      <c r="N166" s="941"/>
    </row>
    <row r="167" spans="1:21" s="942" customFormat="1" ht="24">
      <c r="A167" s="1201"/>
      <c r="B167" s="1564" t="s">
        <v>1362</v>
      </c>
      <c r="C167" s="1092"/>
      <c r="D167" s="1228"/>
      <c r="E167" s="949"/>
      <c r="F167" s="924"/>
      <c r="G167" s="1389"/>
      <c r="H167" s="1389"/>
      <c r="I167" s="1389"/>
      <c r="J167" s="1389"/>
      <c r="K167" s="1467"/>
      <c r="L167" s="1466"/>
      <c r="M167" s="1741"/>
      <c r="N167" s="941"/>
    </row>
    <row r="168" spans="1:21" s="942" customFormat="1" ht="24">
      <c r="A168" s="1566" t="s">
        <v>282</v>
      </c>
      <c r="B168" s="1464" t="s">
        <v>1363</v>
      </c>
      <c r="C168" s="1092"/>
      <c r="D168" s="1228"/>
      <c r="E168" s="949"/>
      <c r="F168" s="924" t="s">
        <v>185</v>
      </c>
      <c r="G168" s="1389"/>
      <c r="H168" s="1389"/>
      <c r="I168" s="1389"/>
      <c r="J168" s="1389"/>
      <c r="K168" s="1467"/>
      <c r="L168" s="1466"/>
      <c r="M168" s="1741"/>
      <c r="N168" s="941"/>
    </row>
    <row r="169" spans="1:21" s="942" customFormat="1" ht="24">
      <c r="A169" s="1566" t="s">
        <v>282</v>
      </c>
      <c r="B169" s="1464" t="s">
        <v>1365</v>
      </c>
      <c r="C169" s="1092"/>
      <c r="D169" s="1228"/>
      <c r="E169" s="949"/>
      <c r="F169" s="924" t="s">
        <v>1030</v>
      </c>
      <c r="G169" s="1389"/>
      <c r="H169" s="1389"/>
      <c r="I169" s="1389"/>
      <c r="J169" s="1389"/>
      <c r="K169" s="1467"/>
      <c r="L169" s="1466"/>
      <c r="M169" s="1741"/>
      <c r="N169" s="941"/>
    </row>
    <row r="170" spans="1:21" s="942" customFormat="1" ht="24">
      <c r="A170" s="1201"/>
      <c r="B170" s="1564" t="s">
        <v>1375</v>
      </c>
      <c r="C170" s="1092"/>
      <c r="D170" s="1228"/>
      <c r="E170" s="949"/>
      <c r="F170" s="924"/>
      <c r="G170" s="1389"/>
      <c r="H170" s="1389"/>
      <c r="I170" s="1389"/>
      <c r="J170" s="1389"/>
      <c r="K170" s="1467"/>
      <c r="L170" s="1466"/>
      <c r="M170" s="1741"/>
      <c r="N170" s="941"/>
    </row>
    <row r="171" spans="1:21" s="942" customFormat="1" ht="24">
      <c r="A171" s="1201"/>
      <c r="B171" s="1564" t="s">
        <v>1376</v>
      </c>
      <c r="C171" s="1092"/>
      <c r="D171" s="1228"/>
      <c r="E171" s="949"/>
      <c r="F171" s="924"/>
      <c r="G171" s="1389"/>
      <c r="H171" s="1389"/>
      <c r="I171" s="1389"/>
      <c r="J171" s="1389"/>
      <c r="K171" s="1467"/>
      <c r="L171" s="1466"/>
      <c r="M171" s="1741"/>
      <c r="N171" s="941"/>
    </row>
    <row r="172" spans="1:21" s="942" customFormat="1" ht="24">
      <c r="A172" s="1566" t="s">
        <v>282</v>
      </c>
      <c r="B172" s="1464" t="s">
        <v>1377</v>
      </c>
      <c r="C172" s="1092"/>
      <c r="D172" s="1228"/>
      <c r="E172" s="949"/>
      <c r="F172" s="924" t="s">
        <v>185</v>
      </c>
      <c r="G172" s="1389"/>
      <c r="H172" s="1389"/>
      <c r="I172" s="1389"/>
      <c r="J172" s="1389"/>
      <c r="K172" s="1467"/>
      <c r="L172" s="1466"/>
      <c r="M172" s="1741"/>
      <c r="N172" s="941"/>
    </row>
    <row r="173" spans="1:21" s="942" customFormat="1" ht="24">
      <c r="A173" s="1201"/>
      <c r="B173" s="1564" t="s">
        <v>1378</v>
      </c>
      <c r="C173" s="1092"/>
      <c r="D173" s="1228"/>
      <c r="E173" s="949"/>
      <c r="F173" s="924"/>
      <c r="G173" s="1389"/>
      <c r="H173" s="1389"/>
      <c r="I173" s="1389"/>
      <c r="J173" s="1389"/>
      <c r="K173" s="1467"/>
      <c r="L173" s="1466"/>
      <c r="M173" s="1741"/>
      <c r="N173" s="941"/>
    </row>
    <row r="174" spans="1:21" s="942" customFormat="1" ht="24">
      <c r="A174" s="1566" t="s">
        <v>282</v>
      </c>
      <c r="B174" s="1464" t="s">
        <v>1379</v>
      </c>
      <c r="C174" s="1092"/>
      <c r="D174" s="1228"/>
      <c r="E174" s="949"/>
      <c r="F174" s="924" t="s">
        <v>185</v>
      </c>
      <c r="G174" s="1389"/>
      <c r="H174" s="1389"/>
      <c r="I174" s="1389"/>
      <c r="J174" s="1389"/>
      <c r="K174" s="1467"/>
      <c r="L174" s="1466"/>
      <c r="M174" s="1741"/>
      <c r="N174" s="941"/>
    </row>
    <row r="175" spans="1:21" s="942" customFormat="1" ht="24">
      <c r="A175" s="1566" t="s">
        <v>282</v>
      </c>
      <c r="B175" s="1202" t="s">
        <v>1380</v>
      </c>
      <c r="C175" s="1092"/>
      <c r="D175" s="1228"/>
      <c r="E175" s="949"/>
      <c r="F175" s="924" t="s">
        <v>1030</v>
      </c>
      <c r="G175" s="1389"/>
      <c r="H175" s="1389"/>
      <c r="I175" s="1389"/>
      <c r="J175" s="1389"/>
      <c r="K175" s="1467"/>
      <c r="L175" s="1466"/>
      <c r="M175" s="1741"/>
      <c r="N175" s="941"/>
    </row>
    <row r="176" spans="1:21" s="10" customFormat="1" ht="21" customHeight="1">
      <c r="A176" s="1566" t="s">
        <v>282</v>
      </c>
      <c r="B176" s="1202" t="s">
        <v>1381</v>
      </c>
      <c r="C176" s="1092"/>
      <c r="D176" s="1228"/>
      <c r="E176" s="949"/>
      <c r="F176" s="924" t="s">
        <v>1030</v>
      </c>
      <c r="G176" s="1389"/>
      <c r="H176" s="1389"/>
      <c r="I176" s="1389"/>
      <c r="J176" s="1389"/>
      <c r="K176" s="1467"/>
      <c r="L176" s="1466"/>
      <c r="M176" s="940"/>
      <c r="N176" s="941"/>
      <c r="O176" s="942"/>
      <c r="P176" s="1400"/>
      <c r="Q176" s="1401"/>
      <c r="R176" s="1400"/>
      <c r="S176" s="1402"/>
      <c r="T176" s="1403"/>
      <c r="U176" s="11"/>
    </row>
    <row r="177" spans="1:21" s="10" customFormat="1" ht="21" customHeight="1">
      <c r="A177" s="1201"/>
      <c r="B177" s="1564" t="s">
        <v>1382</v>
      </c>
      <c r="C177" s="1092"/>
      <c r="D177" s="1228"/>
      <c r="E177" s="949"/>
      <c r="F177" s="924"/>
      <c r="G177" s="1389"/>
      <c r="H177" s="1389"/>
      <c r="I177" s="1389"/>
      <c r="J177" s="1389"/>
      <c r="K177" s="1467"/>
      <c r="L177" s="1466"/>
      <c r="M177" s="940"/>
      <c r="N177" s="941"/>
      <c r="O177" s="942"/>
      <c r="P177" s="1400"/>
      <c r="Q177" s="1401"/>
      <c r="R177" s="1400"/>
      <c r="S177" s="1402"/>
      <c r="T177" s="1403"/>
      <c r="U177" s="11"/>
    </row>
    <row r="178" spans="1:21" s="10" customFormat="1" ht="21" customHeight="1">
      <c r="A178" s="1201"/>
      <c r="B178" s="1564" t="s">
        <v>1383</v>
      </c>
      <c r="C178" s="1092"/>
      <c r="D178" s="1228"/>
      <c r="E178" s="949"/>
      <c r="F178" s="924"/>
      <c r="G178" s="1389"/>
      <c r="H178" s="1389"/>
      <c r="I178" s="1389"/>
      <c r="J178" s="1389"/>
      <c r="K178" s="1467"/>
      <c r="L178" s="1466"/>
      <c r="M178" s="940"/>
      <c r="N178" s="941"/>
      <c r="O178" s="942"/>
      <c r="P178" s="1400"/>
      <c r="Q178" s="1401"/>
      <c r="R178" s="1400"/>
      <c r="S178" s="1402"/>
      <c r="T178" s="1403"/>
      <c r="U178" s="11"/>
    </row>
    <row r="179" spans="1:21" s="10" customFormat="1" ht="21" customHeight="1">
      <c r="A179" s="1566" t="s">
        <v>282</v>
      </c>
      <c r="B179" s="1464" t="s">
        <v>1384</v>
      </c>
      <c r="C179" s="1092"/>
      <c r="D179" s="1228"/>
      <c r="E179" s="949"/>
      <c r="F179" s="924" t="s">
        <v>185</v>
      </c>
      <c r="G179" s="1389"/>
      <c r="H179" s="1389"/>
      <c r="I179" s="1389"/>
      <c r="J179" s="1389"/>
      <c r="K179" s="1467"/>
      <c r="L179" s="1466"/>
      <c r="M179" s="940"/>
      <c r="N179" s="941"/>
      <c r="O179" s="942"/>
      <c r="P179" s="1400"/>
      <c r="Q179" s="1401"/>
      <c r="R179" s="1400"/>
      <c r="S179" s="1402"/>
      <c r="T179" s="1403"/>
      <c r="U179" s="11"/>
    </row>
    <row r="180" spans="1:21" s="10" customFormat="1" ht="21" customHeight="1">
      <c r="A180" s="1566" t="s">
        <v>282</v>
      </c>
      <c r="B180" s="1464" t="s">
        <v>1381</v>
      </c>
      <c r="C180" s="1092"/>
      <c r="D180" s="1228"/>
      <c r="E180" s="949"/>
      <c r="F180" s="924" t="s">
        <v>1030</v>
      </c>
      <c r="G180" s="1389"/>
      <c r="H180" s="1389"/>
      <c r="I180" s="1389"/>
      <c r="J180" s="1389"/>
      <c r="K180" s="1467"/>
      <c r="L180" s="1466"/>
      <c r="M180" s="940"/>
      <c r="N180" s="941"/>
      <c r="O180" s="942"/>
      <c r="P180" s="1400"/>
      <c r="Q180" s="1401"/>
      <c r="R180" s="1400"/>
      <c r="S180" s="1402"/>
      <c r="T180" s="1403"/>
      <c r="U180" s="11"/>
    </row>
    <row r="181" spans="1:21" s="10" customFormat="1" ht="21" customHeight="1">
      <c r="A181" s="1201"/>
      <c r="B181" s="1464" t="s">
        <v>1385</v>
      </c>
      <c r="C181" s="1092"/>
      <c r="D181" s="1228"/>
      <c r="E181" s="949"/>
      <c r="F181" s="924"/>
      <c r="G181" s="1389"/>
      <c r="H181" s="1389"/>
      <c r="I181" s="1389"/>
      <c r="J181" s="1389"/>
      <c r="K181" s="1467"/>
      <c r="L181" s="1466"/>
      <c r="M181" s="940"/>
      <c r="N181" s="941"/>
      <c r="O181" s="942"/>
      <c r="P181" s="1400"/>
      <c r="Q181" s="1401"/>
      <c r="R181" s="1400"/>
      <c r="S181" s="1402"/>
      <c r="T181" s="1403"/>
      <c r="U181" s="11"/>
    </row>
    <row r="182" spans="1:21" s="10" customFormat="1" ht="21" customHeight="1">
      <c r="A182" s="1566" t="s">
        <v>282</v>
      </c>
      <c r="B182" s="1464" t="s">
        <v>1386</v>
      </c>
      <c r="C182" s="1092"/>
      <c r="D182" s="1228"/>
      <c r="E182" s="949"/>
      <c r="F182" s="924" t="s">
        <v>185</v>
      </c>
      <c r="G182" s="1389"/>
      <c r="H182" s="1389"/>
      <c r="I182" s="1389"/>
      <c r="J182" s="1389"/>
      <c r="K182" s="1467"/>
      <c r="L182" s="1466"/>
      <c r="M182" s="940"/>
      <c r="N182" s="941"/>
      <c r="O182" s="942"/>
      <c r="P182" s="1400"/>
      <c r="Q182" s="1401"/>
      <c r="R182" s="1400"/>
      <c r="S182" s="1402"/>
      <c r="T182" s="1403"/>
      <c r="U182" s="11"/>
    </row>
    <row r="183" spans="1:21" s="10" customFormat="1" ht="21" customHeight="1">
      <c r="A183" s="1566" t="s">
        <v>282</v>
      </c>
      <c r="B183" s="1464" t="s">
        <v>1381</v>
      </c>
      <c r="C183" s="1092"/>
      <c r="D183" s="1228"/>
      <c r="E183" s="949"/>
      <c r="F183" s="924" t="s">
        <v>1030</v>
      </c>
      <c r="G183" s="1389"/>
      <c r="H183" s="1389"/>
      <c r="I183" s="1389"/>
      <c r="J183" s="1389"/>
      <c r="K183" s="1467"/>
      <c r="L183" s="1466"/>
      <c r="M183" s="940"/>
      <c r="N183" s="941"/>
      <c r="O183" s="942"/>
      <c r="P183" s="1400"/>
      <c r="Q183" s="1401"/>
      <c r="R183" s="1400"/>
      <c r="S183" s="1402"/>
      <c r="T183" s="1403"/>
      <c r="U183" s="11"/>
    </row>
    <row r="184" spans="1:21" s="10" customFormat="1" ht="21" customHeight="1">
      <c r="A184" s="1201"/>
      <c r="B184" s="1564" t="s">
        <v>1387</v>
      </c>
      <c r="C184" s="1092"/>
      <c r="D184" s="1228"/>
      <c r="E184" s="949"/>
      <c r="F184" s="924"/>
      <c r="G184" s="1389"/>
      <c r="H184" s="1389"/>
      <c r="I184" s="1389"/>
      <c r="J184" s="1389"/>
      <c r="K184" s="1467"/>
      <c r="L184" s="1466"/>
      <c r="M184" s="940"/>
      <c r="N184" s="941"/>
      <c r="O184" s="942"/>
      <c r="P184" s="1400"/>
      <c r="Q184" s="1401"/>
      <c r="R184" s="1400"/>
      <c r="S184" s="1402"/>
      <c r="T184" s="1403"/>
      <c r="U184" s="11"/>
    </row>
    <row r="185" spans="1:21" s="10" customFormat="1" ht="21" customHeight="1">
      <c r="A185" s="1201"/>
      <c r="B185" s="1564" t="s">
        <v>1388</v>
      </c>
      <c r="C185" s="1092"/>
      <c r="D185" s="1228"/>
      <c r="E185" s="949"/>
      <c r="F185" s="924"/>
      <c r="G185" s="1389"/>
      <c r="H185" s="1389"/>
      <c r="I185" s="1389"/>
      <c r="J185" s="1389"/>
      <c r="K185" s="1467"/>
      <c r="L185" s="1466"/>
      <c r="M185" s="940"/>
      <c r="N185" s="941"/>
      <c r="O185" s="942"/>
      <c r="P185" s="1400"/>
      <c r="Q185" s="1401"/>
      <c r="R185" s="1400"/>
      <c r="S185" s="1402"/>
      <c r="T185" s="1403"/>
      <c r="U185" s="11"/>
    </row>
    <row r="186" spans="1:21" s="10" customFormat="1" ht="21" customHeight="1">
      <c r="A186" s="1566" t="s">
        <v>282</v>
      </c>
      <c r="B186" s="1464" t="s">
        <v>1389</v>
      </c>
      <c r="C186" s="1092"/>
      <c r="D186" s="1228"/>
      <c r="E186" s="949"/>
      <c r="F186" s="924" t="s">
        <v>240</v>
      </c>
      <c r="G186" s="1389"/>
      <c r="H186" s="1389"/>
      <c r="I186" s="1389"/>
      <c r="J186" s="1389"/>
      <c r="K186" s="1467"/>
      <c r="L186" s="1466"/>
      <c r="M186" s="940"/>
      <c r="N186" s="941"/>
      <c r="O186" s="942"/>
      <c r="P186" s="1400"/>
      <c r="Q186" s="1401"/>
      <c r="R186" s="1400"/>
      <c r="S186" s="1402"/>
      <c r="T186" s="1403"/>
      <c r="U186" s="11"/>
    </row>
    <row r="187" spans="1:21" s="10" customFormat="1" ht="21" customHeight="1">
      <c r="A187" s="1201"/>
      <c r="B187" s="1564" t="s">
        <v>1367</v>
      </c>
      <c r="C187" s="1092"/>
      <c r="D187" s="1228"/>
      <c r="E187" s="949"/>
      <c r="F187" s="924"/>
      <c r="G187" s="1389"/>
      <c r="H187" s="1389"/>
      <c r="I187" s="1389"/>
      <c r="J187" s="1389"/>
      <c r="K187" s="1467"/>
      <c r="L187" s="1466"/>
      <c r="M187" s="940"/>
      <c r="N187" s="941"/>
      <c r="O187" s="942"/>
      <c r="P187" s="1400"/>
      <c r="Q187" s="1401"/>
      <c r="R187" s="1400"/>
      <c r="S187" s="1402"/>
      <c r="T187" s="1403"/>
      <c r="U187" s="11"/>
    </row>
    <row r="188" spans="1:21" s="10" customFormat="1" ht="21" customHeight="1">
      <c r="A188" s="1566" t="s">
        <v>282</v>
      </c>
      <c r="B188" s="1464" t="s">
        <v>1368</v>
      </c>
      <c r="C188" s="1092"/>
      <c r="D188" s="1228"/>
      <c r="E188" s="949"/>
      <c r="F188" s="924" t="s">
        <v>1030</v>
      </c>
      <c r="G188" s="1389"/>
      <c r="H188" s="1389"/>
      <c r="I188" s="1389"/>
      <c r="J188" s="1389"/>
      <c r="K188" s="1467"/>
      <c r="L188" s="1466"/>
      <c r="M188" s="940"/>
      <c r="N188" s="941"/>
      <c r="O188" s="942"/>
      <c r="P188" s="1400"/>
      <c r="Q188" s="1401"/>
      <c r="R188" s="1400"/>
      <c r="S188" s="1402"/>
      <c r="T188" s="1403"/>
      <c r="U188" s="11"/>
    </row>
    <row r="189" spans="1:21" s="10" customFormat="1" ht="21" customHeight="1">
      <c r="A189" s="1566" t="s">
        <v>282</v>
      </c>
      <c r="B189" s="1464" t="s">
        <v>1369</v>
      </c>
      <c r="C189" s="1092"/>
      <c r="D189" s="1228"/>
      <c r="E189" s="949"/>
      <c r="F189" s="924" t="s">
        <v>1030</v>
      </c>
      <c r="G189" s="1389"/>
      <c r="H189" s="1389"/>
      <c r="I189" s="1389"/>
      <c r="J189" s="1389"/>
      <c r="K189" s="1467"/>
      <c r="L189" s="1466"/>
      <c r="M189" s="940"/>
      <c r="N189" s="941"/>
      <c r="O189" s="942"/>
      <c r="P189" s="1400"/>
      <c r="Q189" s="1401"/>
      <c r="R189" s="1400"/>
      <c r="S189" s="1402"/>
      <c r="T189" s="1403"/>
      <c r="U189" s="11"/>
    </row>
    <row r="190" spans="1:21" s="10" customFormat="1" ht="21" customHeight="1">
      <c r="A190" s="1201"/>
      <c r="B190" s="1464"/>
      <c r="C190" s="1092"/>
      <c r="D190" s="1228"/>
      <c r="E190" s="949"/>
      <c r="F190" s="924"/>
      <c r="G190" s="1389"/>
      <c r="H190" s="1389"/>
      <c r="I190" s="1389"/>
      <c r="J190" s="1389"/>
      <c r="K190" s="1467"/>
      <c r="L190" s="1466"/>
      <c r="M190" s="940"/>
      <c r="N190" s="941"/>
      <c r="O190" s="942"/>
      <c r="P190" s="1400"/>
      <c r="Q190" s="1401"/>
      <c r="R190" s="1400"/>
      <c r="S190" s="1402"/>
      <c r="T190" s="1403"/>
      <c r="U190" s="11"/>
    </row>
    <row r="191" spans="1:21" s="10" customFormat="1" ht="21" customHeight="1">
      <c r="A191" s="1552">
        <v>12.5</v>
      </c>
      <c r="B191" s="1464" t="s">
        <v>698</v>
      </c>
      <c r="C191" s="1092"/>
      <c r="D191" s="1228"/>
      <c r="E191" s="949"/>
      <c r="F191" s="924"/>
      <c r="G191" s="1389"/>
      <c r="H191" s="1389"/>
      <c r="I191" s="1389"/>
      <c r="J191" s="1389"/>
      <c r="K191" s="1467"/>
      <c r="L191" s="1466"/>
      <c r="M191" s="940"/>
      <c r="N191" s="941"/>
      <c r="O191" s="942"/>
      <c r="P191" s="1400"/>
      <c r="Q191" s="1401"/>
      <c r="R191" s="1400"/>
      <c r="S191" s="1402"/>
      <c r="T191" s="1403"/>
      <c r="U191" s="11"/>
    </row>
    <row r="192" spans="1:21" s="10" customFormat="1" ht="21" customHeight="1">
      <c r="A192" s="1201" t="s">
        <v>1390</v>
      </c>
      <c r="B192" s="1464" t="s">
        <v>1391</v>
      </c>
      <c r="C192" s="1092"/>
      <c r="D192" s="1228"/>
      <c r="E192" s="949"/>
      <c r="F192" s="924"/>
      <c r="G192" s="1389"/>
      <c r="H192" s="1389"/>
      <c r="I192" s="1389"/>
      <c r="J192" s="1389"/>
      <c r="K192" s="1467"/>
      <c r="L192" s="1466"/>
      <c r="M192" s="940"/>
      <c r="N192" s="941"/>
      <c r="O192" s="942"/>
      <c r="P192" s="1400"/>
      <c r="Q192" s="1401"/>
      <c r="R192" s="1400"/>
      <c r="S192" s="1402"/>
      <c r="T192" s="1403"/>
      <c r="U192" s="11"/>
    </row>
    <row r="193" spans="1:21" s="10" customFormat="1" ht="21" customHeight="1">
      <c r="A193" s="1201"/>
      <c r="B193" s="1464" t="s">
        <v>1392</v>
      </c>
      <c r="C193" s="1092"/>
      <c r="D193" s="1228"/>
      <c r="E193" s="949"/>
      <c r="F193" s="924"/>
      <c r="G193" s="1389"/>
      <c r="H193" s="1389"/>
      <c r="I193" s="1389"/>
      <c r="J193" s="1389"/>
      <c r="K193" s="1467"/>
      <c r="L193" s="1466"/>
      <c r="M193" s="940"/>
      <c r="N193" s="941"/>
      <c r="O193" s="942"/>
      <c r="P193" s="1400"/>
      <c r="Q193" s="1401"/>
      <c r="R193" s="1400"/>
      <c r="S193" s="1402"/>
      <c r="T193" s="1403"/>
      <c r="U193" s="11"/>
    </row>
    <row r="194" spans="1:21" s="10" customFormat="1" ht="21" customHeight="1">
      <c r="A194" s="1566" t="s">
        <v>282</v>
      </c>
      <c r="B194" s="1464" t="s">
        <v>1393</v>
      </c>
      <c r="C194" s="1092"/>
      <c r="D194" s="1228"/>
      <c r="E194" s="949"/>
      <c r="F194" s="924" t="s">
        <v>185</v>
      </c>
      <c r="G194" s="1389"/>
      <c r="H194" s="1389"/>
      <c r="I194" s="1389"/>
      <c r="J194" s="1389"/>
      <c r="K194" s="1467"/>
      <c r="L194" s="1466"/>
      <c r="M194" s="940"/>
      <c r="N194" s="941"/>
      <c r="O194" s="942"/>
      <c r="P194" s="1400"/>
      <c r="Q194" s="1401"/>
      <c r="R194" s="1400"/>
      <c r="S194" s="1402"/>
      <c r="T194" s="1403"/>
      <c r="U194" s="11"/>
    </row>
    <row r="195" spans="1:21" s="10" customFormat="1" ht="21" customHeight="1">
      <c r="A195" s="1566" t="s">
        <v>282</v>
      </c>
      <c r="B195" s="1464" t="s">
        <v>1394</v>
      </c>
      <c r="C195" s="1092"/>
      <c r="D195" s="1228"/>
      <c r="E195" s="949"/>
      <c r="F195" s="924" t="s">
        <v>185</v>
      </c>
      <c r="G195" s="1389"/>
      <c r="H195" s="1389"/>
      <c r="I195" s="1389"/>
      <c r="J195" s="1389"/>
      <c r="K195" s="1467"/>
      <c r="L195" s="1466"/>
      <c r="M195" s="940"/>
      <c r="N195" s="941"/>
      <c r="O195" s="942"/>
      <c r="P195" s="1400"/>
      <c r="Q195" s="1401"/>
      <c r="R195" s="1400"/>
      <c r="S195" s="1402"/>
      <c r="T195" s="1403"/>
      <c r="U195" s="11"/>
    </row>
    <row r="196" spans="1:21" s="10" customFormat="1" ht="21" customHeight="1">
      <c r="A196" s="1566" t="s">
        <v>282</v>
      </c>
      <c r="B196" s="1464" t="s">
        <v>1395</v>
      </c>
      <c r="C196" s="1092"/>
      <c r="D196" s="1228"/>
      <c r="E196" s="949"/>
      <c r="F196" s="924" t="s">
        <v>185</v>
      </c>
      <c r="G196" s="1389"/>
      <c r="H196" s="1389"/>
      <c r="I196" s="1389"/>
      <c r="J196" s="1389"/>
      <c r="K196" s="1467"/>
      <c r="L196" s="1466"/>
      <c r="M196" s="940"/>
      <c r="N196" s="941"/>
      <c r="O196" s="942"/>
      <c r="P196" s="1400"/>
      <c r="Q196" s="1401"/>
      <c r="R196" s="1400"/>
      <c r="S196" s="1402"/>
      <c r="T196" s="1403"/>
      <c r="U196" s="11"/>
    </row>
    <row r="197" spans="1:21" s="10" customFormat="1" ht="21" customHeight="1">
      <c r="A197" s="1566" t="s">
        <v>282</v>
      </c>
      <c r="B197" s="1464" t="s">
        <v>1396</v>
      </c>
      <c r="C197" s="1092"/>
      <c r="D197" s="1228"/>
      <c r="E197" s="949"/>
      <c r="F197" s="924" t="s">
        <v>185</v>
      </c>
      <c r="G197" s="1389"/>
      <c r="H197" s="1389"/>
      <c r="I197" s="1389"/>
      <c r="J197" s="1389"/>
      <c r="K197" s="1467"/>
      <c r="L197" s="1466"/>
      <c r="M197" s="940"/>
      <c r="N197" s="941"/>
      <c r="O197" s="942"/>
      <c r="P197" s="1400"/>
      <c r="Q197" s="1401"/>
      <c r="R197" s="1400"/>
      <c r="S197" s="1402"/>
      <c r="T197" s="1403"/>
      <c r="U197" s="11"/>
    </row>
    <row r="198" spans="1:21" s="10" customFormat="1" ht="21" customHeight="1">
      <c r="A198" s="1566" t="s">
        <v>282</v>
      </c>
      <c r="B198" s="1464" t="s">
        <v>1397</v>
      </c>
      <c r="C198" s="1092"/>
      <c r="D198" s="1228"/>
      <c r="E198" s="949"/>
      <c r="F198" s="924" t="s">
        <v>185</v>
      </c>
      <c r="G198" s="1389"/>
      <c r="H198" s="1389"/>
      <c r="I198" s="1389"/>
      <c r="J198" s="1389"/>
      <c r="K198" s="1467"/>
      <c r="L198" s="1466"/>
      <c r="M198" s="940"/>
      <c r="N198" s="941"/>
      <c r="O198" s="942"/>
      <c r="P198" s="1400"/>
      <c r="Q198" s="1401"/>
      <c r="R198" s="1400"/>
      <c r="S198" s="1402"/>
      <c r="T198" s="1403"/>
      <c r="U198" s="11"/>
    </row>
    <row r="199" spans="1:21" s="10" customFormat="1" ht="21" customHeight="1">
      <c r="A199" s="1566" t="s">
        <v>282</v>
      </c>
      <c r="B199" s="1464" t="s">
        <v>1398</v>
      </c>
      <c r="C199" s="1092"/>
      <c r="D199" s="1228"/>
      <c r="E199" s="949"/>
      <c r="F199" s="924" t="s">
        <v>1399</v>
      </c>
      <c r="G199" s="1389"/>
      <c r="H199" s="1389"/>
      <c r="I199" s="1389"/>
      <c r="J199" s="1389"/>
      <c r="K199" s="1467"/>
      <c r="L199" s="1466"/>
      <c r="M199" s="940"/>
      <c r="N199" s="941"/>
      <c r="O199" s="942"/>
      <c r="P199" s="1400"/>
      <c r="Q199" s="1401"/>
      <c r="R199" s="1400"/>
      <c r="S199" s="1402"/>
      <c r="T199" s="1403"/>
      <c r="U199" s="11"/>
    </row>
    <row r="200" spans="1:21" s="10" customFormat="1" ht="21" customHeight="1">
      <c r="A200" s="1566" t="s">
        <v>282</v>
      </c>
      <c r="B200" s="1464" t="s">
        <v>1400</v>
      </c>
      <c r="C200" s="1092"/>
      <c r="D200" s="1228"/>
      <c r="E200" s="949"/>
      <c r="F200" s="924" t="s">
        <v>1399</v>
      </c>
      <c r="G200" s="1389"/>
      <c r="H200" s="1389"/>
      <c r="I200" s="1389"/>
      <c r="J200" s="1389"/>
      <c r="K200" s="1467"/>
      <c r="L200" s="1466"/>
      <c r="M200" s="940"/>
      <c r="N200" s="941"/>
      <c r="O200" s="942"/>
      <c r="P200" s="1400"/>
      <c r="Q200" s="1401"/>
      <c r="R200" s="1400"/>
      <c r="S200" s="1402"/>
      <c r="T200" s="1403"/>
      <c r="U200" s="11"/>
    </row>
    <row r="201" spans="1:21" s="10" customFormat="1" ht="21" customHeight="1">
      <c r="A201" s="1566" t="s">
        <v>282</v>
      </c>
      <c r="B201" s="1464" t="s">
        <v>1401</v>
      </c>
      <c r="C201" s="1092"/>
      <c r="D201" s="1228"/>
      <c r="E201" s="949"/>
      <c r="F201" s="924" t="s">
        <v>1399</v>
      </c>
      <c r="G201" s="1389"/>
      <c r="H201" s="1389"/>
      <c r="I201" s="1389"/>
      <c r="J201" s="1389"/>
      <c r="K201" s="1467"/>
      <c r="L201" s="1466"/>
      <c r="M201" s="940"/>
      <c r="N201" s="941"/>
      <c r="O201" s="942"/>
      <c r="P201" s="1400"/>
      <c r="Q201" s="1401"/>
      <c r="R201" s="1400"/>
      <c r="S201" s="1402"/>
      <c r="T201" s="1403"/>
      <c r="U201" s="11"/>
    </row>
    <row r="202" spans="1:21" s="10" customFormat="1" ht="21" customHeight="1">
      <c r="A202" s="1201" t="s">
        <v>1402</v>
      </c>
      <c r="B202" s="1464" t="s">
        <v>1403</v>
      </c>
      <c r="C202" s="1092"/>
      <c r="D202" s="1228"/>
      <c r="E202" s="949"/>
      <c r="F202" s="924"/>
      <c r="G202" s="1389"/>
      <c r="H202" s="1389"/>
      <c r="I202" s="1389"/>
      <c r="J202" s="1389"/>
      <c r="K202" s="1467"/>
      <c r="L202" s="1466"/>
      <c r="M202" s="940"/>
      <c r="N202" s="941"/>
      <c r="O202" s="942"/>
      <c r="P202" s="1400"/>
      <c r="Q202" s="1401"/>
      <c r="R202" s="1400"/>
      <c r="S202" s="1402"/>
      <c r="T202" s="1403"/>
      <c r="U202" s="11"/>
    </row>
    <row r="203" spans="1:21" s="10" customFormat="1" ht="21" customHeight="1">
      <c r="A203" s="1566" t="s">
        <v>282</v>
      </c>
      <c r="B203" s="1464" t="s">
        <v>1393</v>
      </c>
      <c r="C203" s="1092"/>
      <c r="D203" s="1228"/>
      <c r="E203" s="949"/>
      <c r="F203" s="924" t="s">
        <v>1262</v>
      </c>
      <c r="G203" s="1389"/>
      <c r="H203" s="1389"/>
      <c r="I203" s="1389"/>
      <c r="J203" s="1389"/>
      <c r="K203" s="1467"/>
      <c r="L203" s="1466"/>
      <c r="M203" s="940"/>
      <c r="N203" s="941"/>
      <c r="O203" s="942"/>
      <c r="P203" s="1400"/>
      <c r="Q203" s="1401"/>
      <c r="R203" s="1400"/>
      <c r="S203" s="1402"/>
      <c r="T203" s="1403"/>
      <c r="U203" s="11"/>
    </row>
    <row r="204" spans="1:21" s="10" customFormat="1" ht="21" customHeight="1">
      <c r="A204" s="1566" t="s">
        <v>282</v>
      </c>
      <c r="B204" s="1464" t="s">
        <v>1394</v>
      </c>
      <c r="C204" s="1092"/>
      <c r="D204" s="1228"/>
      <c r="E204" s="949"/>
      <c r="F204" s="924" t="s">
        <v>1262</v>
      </c>
      <c r="G204" s="1389"/>
      <c r="H204" s="1389"/>
      <c r="I204" s="1389"/>
      <c r="J204" s="1389"/>
      <c r="K204" s="1467"/>
      <c r="L204" s="1466"/>
      <c r="M204" s="940"/>
      <c r="N204" s="941"/>
      <c r="O204" s="942"/>
      <c r="P204" s="1400"/>
      <c r="Q204" s="1401"/>
      <c r="R204" s="1400"/>
      <c r="S204" s="1402"/>
      <c r="T204" s="1403"/>
      <c r="U204" s="11"/>
    </row>
    <row r="205" spans="1:21" s="10" customFormat="1" ht="21" customHeight="1">
      <c r="A205" s="1201" t="s">
        <v>1404</v>
      </c>
      <c r="B205" s="1464" t="s">
        <v>1405</v>
      </c>
      <c r="C205" s="1092"/>
      <c r="D205" s="1228"/>
      <c r="E205" s="949"/>
      <c r="F205" s="924"/>
      <c r="G205" s="1389"/>
      <c r="H205" s="1389"/>
      <c r="I205" s="1389"/>
      <c r="J205" s="1389"/>
      <c r="K205" s="1467"/>
      <c r="L205" s="1466"/>
      <c r="M205" s="940"/>
      <c r="N205" s="941"/>
      <c r="O205" s="942"/>
      <c r="P205" s="1400"/>
      <c r="Q205" s="1401"/>
      <c r="R205" s="1400"/>
      <c r="S205" s="1402"/>
      <c r="T205" s="1403"/>
      <c r="U205" s="11"/>
    </row>
    <row r="206" spans="1:21" s="10" customFormat="1" ht="21" customHeight="1">
      <c r="A206" s="1566" t="s">
        <v>282</v>
      </c>
      <c r="B206" s="1464" t="s">
        <v>1393</v>
      </c>
      <c r="C206" s="1092"/>
      <c r="D206" s="1228"/>
      <c r="E206" s="949"/>
      <c r="F206" s="924" t="s">
        <v>1262</v>
      </c>
      <c r="G206" s="1389"/>
      <c r="H206" s="1389"/>
      <c r="I206" s="1389"/>
      <c r="J206" s="1389"/>
      <c r="K206" s="1467"/>
      <c r="L206" s="1466"/>
      <c r="M206" s="940"/>
      <c r="N206" s="941"/>
      <c r="O206" s="942"/>
      <c r="P206" s="1400"/>
      <c r="Q206" s="1401"/>
      <c r="R206" s="1400"/>
      <c r="S206" s="1402"/>
      <c r="T206" s="1403"/>
      <c r="U206" s="11"/>
    </row>
    <row r="207" spans="1:21" s="10" customFormat="1" ht="21" customHeight="1">
      <c r="A207" s="1201" t="s">
        <v>1406</v>
      </c>
      <c r="B207" s="1464" t="s">
        <v>1407</v>
      </c>
      <c r="C207" s="1092"/>
      <c r="D207" s="1228"/>
      <c r="E207" s="949"/>
      <c r="F207" s="924"/>
      <c r="G207" s="1389"/>
      <c r="H207" s="1389"/>
      <c r="I207" s="1389"/>
      <c r="J207" s="1389"/>
      <c r="K207" s="1467"/>
      <c r="L207" s="1466"/>
      <c r="M207" s="940"/>
      <c r="N207" s="941"/>
      <c r="O207" s="942"/>
      <c r="P207" s="1400"/>
      <c r="Q207" s="1401"/>
      <c r="R207" s="1400"/>
      <c r="S207" s="1402"/>
      <c r="T207" s="1403"/>
      <c r="U207" s="11"/>
    </row>
    <row r="208" spans="1:21" s="10" customFormat="1" ht="21" customHeight="1">
      <c r="A208" s="1566" t="s">
        <v>282</v>
      </c>
      <c r="B208" s="1464" t="s">
        <v>1393</v>
      </c>
      <c r="C208" s="1092"/>
      <c r="D208" s="1228"/>
      <c r="E208" s="949"/>
      <c r="F208" s="924" t="s">
        <v>1262</v>
      </c>
      <c r="G208" s="1389"/>
      <c r="H208" s="1389"/>
      <c r="I208" s="1389"/>
      <c r="J208" s="1389"/>
      <c r="K208" s="1467"/>
      <c r="L208" s="1466"/>
      <c r="M208" s="940"/>
      <c r="N208" s="941"/>
      <c r="O208" s="942"/>
      <c r="P208" s="1400"/>
      <c r="Q208" s="1401"/>
      <c r="R208" s="1400"/>
      <c r="S208" s="1402"/>
      <c r="T208" s="1403"/>
      <c r="U208" s="11"/>
    </row>
    <row r="209" spans="1:21" s="10" customFormat="1" ht="21" customHeight="1">
      <c r="A209" s="1201" t="s">
        <v>1408</v>
      </c>
      <c r="B209" s="1464" t="s">
        <v>1409</v>
      </c>
      <c r="C209" s="1092"/>
      <c r="D209" s="1228"/>
      <c r="E209" s="949"/>
      <c r="F209" s="924"/>
      <c r="G209" s="1389"/>
      <c r="H209" s="1389"/>
      <c r="I209" s="1389"/>
      <c r="J209" s="1389"/>
      <c r="K209" s="1467"/>
      <c r="L209" s="1466"/>
      <c r="M209" s="940"/>
      <c r="N209" s="941"/>
      <c r="O209" s="942"/>
      <c r="P209" s="1400"/>
      <c r="Q209" s="1401"/>
      <c r="R209" s="1400"/>
      <c r="S209" s="1402"/>
      <c r="T209" s="1403"/>
      <c r="U209" s="11"/>
    </row>
    <row r="210" spans="1:21" s="10" customFormat="1" ht="21" customHeight="1">
      <c r="A210" s="1566" t="s">
        <v>282</v>
      </c>
      <c r="B210" s="1464" t="s">
        <v>1396</v>
      </c>
      <c r="C210" s="1092"/>
      <c r="D210" s="1228"/>
      <c r="E210" s="949"/>
      <c r="F210" s="924" t="s">
        <v>1262</v>
      </c>
      <c r="G210" s="1389"/>
      <c r="H210" s="1389"/>
      <c r="I210" s="1389"/>
      <c r="J210" s="1389"/>
      <c r="K210" s="1467"/>
      <c r="L210" s="1466"/>
      <c r="M210" s="940"/>
      <c r="N210" s="941"/>
      <c r="O210" s="942"/>
      <c r="P210" s="1400"/>
      <c r="Q210" s="1401"/>
      <c r="R210" s="1400"/>
      <c r="S210" s="1402"/>
      <c r="T210" s="1403"/>
      <c r="U210" s="11"/>
    </row>
    <row r="211" spans="1:21" s="10" customFormat="1" ht="21" customHeight="1">
      <c r="A211" s="1201" t="s">
        <v>1410</v>
      </c>
      <c r="B211" s="1464" t="s">
        <v>1411</v>
      </c>
      <c r="C211" s="1092"/>
      <c r="D211" s="1228"/>
      <c r="E211" s="949"/>
      <c r="F211" s="924"/>
      <c r="G211" s="1389"/>
      <c r="H211" s="1389"/>
      <c r="I211" s="1389"/>
      <c r="J211" s="1389"/>
      <c r="K211" s="1467"/>
      <c r="L211" s="1466"/>
      <c r="M211" s="940"/>
      <c r="N211" s="941"/>
      <c r="O211" s="942"/>
      <c r="P211" s="1400"/>
      <c r="Q211" s="1401"/>
      <c r="R211" s="1400"/>
      <c r="S211" s="1402"/>
      <c r="T211" s="1403"/>
      <c r="U211" s="11"/>
    </row>
    <row r="212" spans="1:21" s="10" customFormat="1" ht="21" customHeight="1">
      <c r="A212" s="1201"/>
      <c r="B212" s="1464" t="s">
        <v>1412</v>
      </c>
      <c r="C212" s="1092"/>
      <c r="D212" s="1228"/>
      <c r="E212" s="949"/>
      <c r="F212" s="924"/>
      <c r="G212" s="1389"/>
      <c r="H212" s="1389"/>
      <c r="I212" s="1389"/>
      <c r="J212" s="1389"/>
      <c r="K212" s="1467"/>
      <c r="L212" s="1466"/>
      <c r="M212" s="940"/>
      <c r="N212" s="941"/>
      <c r="O212" s="942"/>
      <c r="P212" s="1400"/>
      <c r="Q212" s="1401"/>
      <c r="R212" s="1400"/>
      <c r="S212" s="1402"/>
      <c r="T212" s="1403"/>
      <c r="U212" s="11"/>
    </row>
    <row r="213" spans="1:21" s="10" customFormat="1" ht="21" customHeight="1">
      <c r="A213" s="1566" t="s">
        <v>282</v>
      </c>
      <c r="B213" s="1464" t="s">
        <v>1413</v>
      </c>
      <c r="C213" s="1092"/>
      <c r="D213" s="1228"/>
      <c r="E213" s="949"/>
      <c r="F213" s="924" t="s">
        <v>185</v>
      </c>
      <c r="G213" s="1389"/>
      <c r="H213" s="1389"/>
      <c r="I213" s="1389"/>
      <c r="J213" s="1389"/>
      <c r="K213" s="1467"/>
      <c r="L213" s="1466"/>
      <c r="M213" s="940"/>
      <c r="N213" s="941"/>
      <c r="O213" s="942"/>
      <c r="P213" s="1400"/>
      <c r="Q213" s="1401"/>
      <c r="R213" s="1400"/>
      <c r="S213" s="1402"/>
      <c r="T213" s="1403"/>
      <c r="U213" s="11"/>
    </row>
    <row r="214" spans="1:21" s="10" customFormat="1" ht="21" customHeight="1">
      <c r="A214" s="1566" t="s">
        <v>282</v>
      </c>
      <c r="B214" s="1464" t="s">
        <v>1414</v>
      </c>
      <c r="C214" s="1092"/>
      <c r="D214" s="1228"/>
      <c r="E214" s="949"/>
      <c r="F214" s="924" t="s">
        <v>185</v>
      </c>
      <c r="G214" s="1389"/>
      <c r="H214" s="1389"/>
      <c r="I214" s="1389"/>
      <c r="J214" s="1389"/>
      <c r="K214" s="1467"/>
      <c r="L214" s="1466"/>
      <c r="M214" s="940"/>
      <c r="N214" s="941"/>
      <c r="O214" s="942"/>
      <c r="P214" s="1400"/>
      <c r="Q214" s="1401"/>
      <c r="R214" s="1400"/>
      <c r="S214" s="1402"/>
      <c r="T214" s="1403"/>
      <c r="U214" s="11"/>
    </row>
    <row r="215" spans="1:21" s="10" customFormat="1" ht="21" customHeight="1">
      <c r="A215" s="1566" t="s">
        <v>282</v>
      </c>
      <c r="B215" s="1464" t="s">
        <v>1415</v>
      </c>
      <c r="C215" s="1092"/>
      <c r="D215" s="1228"/>
      <c r="E215" s="949"/>
      <c r="F215" s="924" t="s">
        <v>185</v>
      </c>
      <c r="G215" s="1389"/>
      <c r="H215" s="1389"/>
      <c r="I215" s="1389"/>
      <c r="J215" s="1389"/>
      <c r="K215" s="1467"/>
      <c r="L215" s="1466"/>
      <c r="M215" s="940"/>
      <c r="N215" s="941"/>
      <c r="O215" s="942"/>
      <c r="P215" s="1400"/>
      <c r="Q215" s="1401"/>
      <c r="R215" s="1400"/>
      <c r="S215" s="1402"/>
      <c r="T215" s="1403"/>
      <c r="U215" s="11"/>
    </row>
    <row r="216" spans="1:21" s="10" customFormat="1" ht="21" customHeight="1">
      <c r="A216" s="1566" t="s">
        <v>282</v>
      </c>
      <c r="B216" s="1464" t="s">
        <v>1416</v>
      </c>
      <c r="C216" s="1092"/>
      <c r="D216" s="1228"/>
      <c r="E216" s="949"/>
      <c r="F216" s="924" t="s">
        <v>185</v>
      </c>
      <c r="G216" s="1389"/>
      <c r="H216" s="1389"/>
      <c r="I216" s="1389"/>
      <c r="J216" s="1389"/>
      <c r="K216" s="1467"/>
      <c r="L216" s="1466"/>
      <c r="M216" s="940"/>
      <c r="N216" s="941"/>
      <c r="O216" s="942"/>
      <c r="P216" s="1400"/>
      <c r="Q216" s="1401"/>
      <c r="R216" s="1400"/>
      <c r="S216" s="1402"/>
      <c r="T216" s="1403"/>
      <c r="U216" s="11"/>
    </row>
    <row r="217" spans="1:21" s="10" customFormat="1" ht="21" customHeight="1">
      <c r="A217" s="1566" t="s">
        <v>282</v>
      </c>
      <c r="B217" s="1464" t="s">
        <v>1417</v>
      </c>
      <c r="C217" s="1092"/>
      <c r="D217" s="1228"/>
      <c r="E217" s="949"/>
      <c r="F217" s="924" t="s">
        <v>185</v>
      </c>
      <c r="G217" s="1389"/>
      <c r="H217" s="1389"/>
      <c r="I217" s="1389"/>
      <c r="J217" s="1389"/>
      <c r="K217" s="1467"/>
      <c r="L217" s="1466"/>
      <c r="M217" s="940"/>
      <c r="N217" s="941"/>
      <c r="O217" s="942"/>
      <c r="P217" s="1400"/>
      <c r="Q217" s="1401"/>
      <c r="R217" s="1400"/>
      <c r="S217" s="1402"/>
      <c r="T217" s="1403"/>
      <c r="U217" s="11"/>
    </row>
    <row r="218" spans="1:21" s="10" customFormat="1" ht="21" customHeight="1">
      <c r="A218" s="1566" t="s">
        <v>282</v>
      </c>
      <c r="B218" s="1464" t="s">
        <v>1398</v>
      </c>
      <c r="C218" s="1092"/>
      <c r="D218" s="1228"/>
      <c r="E218" s="949"/>
      <c r="F218" s="924" t="s">
        <v>1399</v>
      </c>
      <c r="G218" s="1389"/>
      <c r="H218" s="1389"/>
      <c r="I218" s="1389"/>
      <c r="J218" s="1389"/>
      <c r="K218" s="1467"/>
      <c r="L218" s="1466"/>
      <c r="M218" s="940"/>
      <c r="N218" s="941"/>
      <c r="O218" s="942"/>
      <c r="P218" s="1400"/>
      <c r="Q218" s="1401"/>
      <c r="R218" s="1400"/>
      <c r="S218" s="1402"/>
      <c r="T218" s="1403"/>
      <c r="U218" s="11"/>
    </row>
    <row r="219" spans="1:21" s="10" customFormat="1" ht="21" customHeight="1">
      <c r="A219" s="1566" t="s">
        <v>282</v>
      </c>
      <c r="B219" s="1464" t="s">
        <v>1400</v>
      </c>
      <c r="C219" s="1092"/>
      <c r="D219" s="1228"/>
      <c r="E219" s="949"/>
      <c r="F219" s="924" t="s">
        <v>1399</v>
      </c>
      <c r="G219" s="1389"/>
      <c r="H219" s="1389"/>
      <c r="I219" s="1389"/>
      <c r="J219" s="1389"/>
      <c r="K219" s="1467"/>
      <c r="L219" s="1466"/>
      <c r="M219" s="940"/>
      <c r="N219" s="941"/>
      <c r="O219" s="942"/>
      <c r="P219" s="1400"/>
      <c r="Q219" s="1401"/>
      <c r="R219" s="1400"/>
      <c r="S219" s="1402"/>
      <c r="T219" s="1403"/>
      <c r="U219" s="11"/>
    </row>
    <row r="220" spans="1:21" s="10" customFormat="1" ht="21" customHeight="1">
      <c r="A220" s="1566" t="s">
        <v>282</v>
      </c>
      <c r="B220" s="1464" t="s">
        <v>1401</v>
      </c>
      <c r="C220" s="1092"/>
      <c r="D220" s="1228"/>
      <c r="E220" s="949"/>
      <c r="F220" s="924" t="s">
        <v>1399</v>
      </c>
      <c r="G220" s="1389"/>
      <c r="H220" s="1389"/>
      <c r="I220" s="1389"/>
      <c r="J220" s="1389"/>
      <c r="K220" s="1467"/>
      <c r="L220" s="1466"/>
      <c r="M220" s="940"/>
      <c r="N220" s="941"/>
      <c r="O220" s="942"/>
      <c r="P220" s="1400"/>
      <c r="Q220" s="1401"/>
      <c r="R220" s="1400"/>
      <c r="S220" s="1402"/>
      <c r="T220" s="1403"/>
      <c r="U220" s="11"/>
    </row>
    <row r="221" spans="1:21" s="10" customFormat="1" ht="21" customHeight="1">
      <c r="A221" s="1201" t="s">
        <v>1418</v>
      </c>
      <c r="B221" s="1464" t="s">
        <v>1419</v>
      </c>
      <c r="C221" s="1092"/>
      <c r="D221" s="1228"/>
      <c r="E221" s="949"/>
      <c r="F221" s="924"/>
      <c r="G221" s="1389"/>
      <c r="H221" s="1389"/>
      <c r="I221" s="1389"/>
      <c r="J221" s="1389"/>
      <c r="K221" s="1467"/>
      <c r="L221" s="1466"/>
      <c r="M221" s="940"/>
      <c r="N221" s="941"/>
      <c r="O221" s="942"/>
      <c r="P221" s="1400"/>
      <c r="Q221" s="1401"/>
      <c r="R221" s="1400"/>
      <c r="S221" s="1402"/>
      <c r="T221" s="1403"/>
      <c r="U221" s="11"/>
    </row>
    <row r="222" spans="1:21" s="10" customFormat="1" ht="21" customHeight="1">
      <c r="A222" s="1566" t="s">
        <v>282</v>
      </c>
      <c r="B222" s="1464" t="s">
        <v>1416</v>
      </c>
      <c r="C222" s="1092"/>
      <c r="D222" s="1228"/>
      <c r="E222" s="949"/>
      <c r="F222" s="924" t="s">
        <v>1262</v>
      </c>
      <c r="G222" s="1389"/>
      <c r="H222" s="1389"/>
      <c r="I222" s="1389"/>
      <c r="J222" s="1389"/>
      <c r="K222" s="1467"/>
      <c r="L222" s="1466"/>
      <c r="M222" s="940"/>
      <c r="N222" s="941"/>
      <c r="O222" s="942"/>
      <c r="P222" s="1400"/>
      <c r="Q222" s="1401"/>
      <c r="R222" s="1400"/>
      <c r="S222" s="1402"/>
      <c r="T222" s="1403"/>
      <c r="U222" s="11"/>
    </row>
    <row r="223" spans="1:21" s="10" customFormat="1" ht="21" customHeight="1">
      <c r="A223" s="1201" t="s">
        <v>1420</v>
      </c>
      <c r="B223" s="1464" t="s">
        <v>1421</v>
      </c>
      <c r="C223" s="1092"/>
      <c r="D223" s="1228"/>
      <c r="E223" s="949"/>
      <c r="F223" s="924"/>
      <c r="G223" s="1389"/>
      <c r="H223" s="1389"/>
      <c r="I223" s="1389"/>
      <c r="J223" s="1389"/>
      <c r="K223" s="1467"/>
      <c r="L223" s="1466"/>
      <c r="M223" s="940"/>
      <c r="N223" s="941"/>
      <c r="O223" s="942"/>
      <c r="P223" s="1400"/>
      <c r="Q223" s="1401"/>
      <c r="R223" s="1400"/>
      <c r="S223" s="1402"/>
      <c r="T223" s="1403"/>
      <c r="U223" s="11"/>
    </row>
    <row r="224" spans="1:21" s="10" customFormat="1" ht="21" customHeight="1">
      <c r="A224" s="1566" t="s">
        <v>282</v>
      </c>
      <c r="B224" s="1464" t="s">
        <v>1413</v>
      </c>
      <c r="C224" s="1092"/>
      <c r="D224" s="1228"/>
      <c r="E224" s="949"/>
      <c r="F224" s="924" t="s">
        <v>1262</v>
      </c>
      <c r="G224" s="1389"/>
      <c r="H224" s="1389"/>
      <c r="I224" s="1389"/>
      <c r="J224" s="1389"/>
      <c r="K224" s="1467"/>
      <c r="L224" s="1466"/>
      <c r="M224" s="940"/>
      <c r="N224" s="941"/>
      <c r="O224" s="942"/>
      <c r="P224" s="1400"/>
      <c r="Q224" s="1401"/>
      <c r="R224" s="1400"/>
      <c r="S224" s="1402"/>
      <c r="T224" s="1403"/>
      <c r="U224" s="11"/>
    </row>
    <row r="225" spans="1:21" s="10" customFormat="1" ht="21" customHeight="1">
      <c r="A225" s="1566" t="s">
        <v>282</v>
      </c>
      <c r="B225" s="1464" t="s">
        <v>1414</v>
      </c>
      <c r="C225" s="1092"/>
      <c r="D225" s="1228"/>
      <c r="E225" s="949"/>
      <c r="F225" s="924" t="s">
        <v>1262</v>
      </c>
      <c r="G225" s="1389"/>
      <c r="H225" s="1389"/>
      <c r="I225" s="1389"/>
      <c r="J225" s="1389"/>
      <c r="K225" s="1467"/>
      <c r="L225" s="1466"/>
      <c r="M225" s="940"/>
      <c r="N225" s="941"/>
      <c r="O225" s="942"/>
      <c r="P225" s="1400"/>
      <c r="Q225" s="1401"/>
      <c r="R225" s="1400"/>
      <c r="S225" s="1402"/>
      <c r="T225" s="1403"/>
      <c r="U225" s="11"/>
    </row>
    <row r="226" spans="1:21" s="10" customFormat="1" ht="21" customHeight="1">
      <c r="A226" s="1566" t="s">
        <v>282</v>
      </c>
      <c r="B226" s="1464" t="s">
        <v>1416</v>
      </c>
      <c r="C226" s="1092"/>
      <c r="D226" s="1228"/>
      <c r="E226" s="949"/>
      <c r="F226" s="924" t="s">
        <v>1262</v>
      </c>
      <c r="G226" s="1389"/>
      <c r="H226" s="1389"/>
      <c r="I226" s="1389"/>
      <c r="J226" s="1389"/>
      <c r="K226" s="1467"/>
      <c r="L226" s="1466"/>
      <c r="M226" s="940"/>
      <c r="N226" s="941"/>
      <c r="O226" s="942"/>
      <c r="P226" s="1400"/>
      <c r="Q226" s="1401"/>
      <c r="R226" s="1400"/>
      <c r="S226" s="1402"/>
      <c r="T226" s="1403"/>
      <c r="U226" s="11"/>
    </row>
    <row r="227" spans="1:21" s="10" customFormat="1" ht="21" customHeight="1">
      <c r="A227" s="1201" t="s">
        <v>1422</v>
      </c>
      <c r="B227" s="1464" t="s">
        <v>1423</v>
      </c>
      <c r="C227" s="1092"/>
      <c r="D227" s="1228"/>
      <c r="E227" s="949"/>
      <c r="F227" s="924"/>
      <c r="G227" s="1389"/>
      <c r="H227" s="1389"/>
      <c r="I227" s="1389"/>
      <c r="J227" s="1389"/>
      <c r="K227" s="1467"/>
      <c r="L227" s="1466"/>
      <c r="M227" s="940"/>
      <c r="N227" s="941"/>
      <c r="O227" s="942"/>
      <c r="P227" s="1400"/>
      <c r="Q227" s="1401"/>
      <c r="R227" s="1400"/>
      <c r="S227" s="1402"/>
      <c r="T227" s="1403"/>
      <c r="U227" s="11"/>
    </row>
    <row r="228" spans="1:21" s="10" customFormat="1" ht="21" customHeight="1">
      <c r="A228" s="1566" t="s">
        <v>282</v>
      </c>
      <c r="B228" s="1464" t="s">
        <v>1416</v>
      </c>
      <c r="C228" s="1092"/>
      <c r="D228" s="1228"/>
      <c r="E228" s="949"/>
      <c r="F228" s="924" t="s">
        <v>1262</v>
      </c>
      <c r="G228" s="1389"/>
      <c r="H228" s="1389"/>
      <c r="I228" s="1389"/>
      <c r="J228" s="1389"/>
      <c r="K228" s="1467"/>
      <c r="L228" s="1466"/>
      <c r="M228" s="940"/>
      <c r="N228" s="941"/>
      <c r="O228" s="942"/>
      <c r="P228" s="1400"/>
      <c r="Q228" s="1401"/>
      <c r="R228" s="1400"/>
      <c r="S228" s="1402"/>
      <c r="T228" s="1403"/>
      <c r="U228" s="11"/>
    </row>
    <row r="229" spans="1:21" s="10" customFormat="1" ht="21" customHeight="1">
      <c r="A229" s="1201" t="s">
        <v>1424</v>
      </c>
      <c r="B229" s="1464" t="s">
        <v>1425</v>
      </c>
      <c r="C229" s="1092"/>
      <c r="D229" s="1228"/>
      <c r="E229" s="949"/>
      <c r="F229" s="924"/>
      <c r="G229" s="1389"/>
      <c r="H229" s="1389"/>
      <c r="I229" s="1389"/>
      <c r="J229" s="1389"/>
      <c r="K229" s="1467"/>
      <c r="L229" s="1466"/>
      <c r="M229" s="940"/>
      <c r="N229" s="941"/>
      <c r="O229" s="942"/>
      <c r="P229" s="1400"/>
      <c r="Q229" s="1401"/>
      <c r="R229" s="1400"/>
      <c r="S229" s="1402"/>
      <c r="T229" s="1403"/>
      <c r="U229" s="11"/>
    </row>
    <row r="230" spans="1:21" s="10" customFormat="1" ht="21" customHeight="1">
      <c r="A230" s="1566" t="s">
        <v>282</v>
      </c>
      <c r="B230" s="1464" t="s">
        <v>1413</v>
      </c>
      <c r="C230" s="1092"/>
      <c r="D230" s="1228"/>
      <c r="E230" s="949"/>
      <c r="F230" s="924" t="s">
        <v>1262</v>
      </c>
      <c r="G230" s="1389"/>
      <c r="H230" s="1389"/>
      <c r="I230" s="1389"/>
      <c r="J230" s="1389"/>
      <c r="K230" s="1467"/>
      <c r="L230" s="1466"/>
      <c r="M230" s="940"/>
      <c r="N230" s="941"/>
      <c r="O230" s="942"/>
      <c r="P230" s="1400"/>
      <c r="Q230" s="1401"/>
      <c r="R230" s="1400"/>
      <c r="S230" s="1402"/>
      <c r="T230" s="1403"/>
      <c r="U230" s="11"/>
    </row>
    <row r="231" spans="1:21" s="10" customFormat="1" ht="21" customHeight="1">
      <c r="A231" s="1566" t="s">
        <v>282</v>
      </c>
      <c r="B231" s="1464" t="s">
        <v>1426</v>
      </c>
      <c r="C231" s="1092"/>
      <c r="D231" s="1228"/>
      <c r="E231" s="949"/>
      <c r="F231" s="924" t="s">
        <v>1262</v>
      </c>
      <c r="G231" s="1389"/>
      <c r="H231" s="1389"/>
      <c r="I231" s="1389"/>
      <c r="J231" s="1389"/>
      <c r="K231" s="1467"/>
      <c r="L231" s="1466"/>
      <c r="M231" s="940"/>
      <c r="N231" s="941"/>
      <c r="O231" s="942"/>
      <c r="P231" s="1400"/>
      <c r="Q231" s="1401"/>
      <c r="R231" s="1400"/>
      <c r="S231" s="1402"/>
      <c r="T231" s="1403"/>
      <c r="U231" s="11"/>
    </row>
    <row r="232" spans="1:21" s="10" customFormat="1" ht="21" customHeight="1">
      <c r="A232" s="1566" t="s">
        <v>282</v>
      </c>
      <c r="B232" s="1464" t="s">
        <v>1427</v>
      </c>
      <c r="C232" s="1092"/>
      <c r="D232" s="1228"/>
      <c r="E232" s="949"/>
      <c r="F232" s="924" t="s">
        <v>1262</v>
      </c>
      <c r="G232" s="1389"/>
      <c r="H232" s="1389"/>
      <c r="I232" s="1389"/>
      <c r="J232" s="1389"/>
      <c r="K232" s="1467"/>
      <c r="L232" s="1466"/>
      <c r="M232" s="940"/>
      <c r="N232" s="941"/>
      <c r="O232" s="942"/>
      <c r="P232" s="1400"/>
      <c r="Q232" s="1401"/>
      <c r="R232" s="1400"/>
      <c r="S232" s="1402"/>
      <c r="T232" s="1403"/>
      <c r="U232" s="11"/>
    </row>
    <row r="233" spans="1:21" s="10" customFormat="1" ht="21" customHeight="1">
      <c r="A233" s="1201" t="s">
        <v>1428</v>
      </c>
      <c r="B233" s="1464" t="s">
        <v>1429</v>
      </c>
      <c r="C233" s="1092"/>
      <c r="D233" s="1228"/>
      <c r="E233" s="949"/>
      <c r="F233" s="924"/>
      <c r="G233" s="1389"/>
      <c r="H233" s="1389"/>
      <c r="I233" s="1389"/>
      <c r="J233" s="1389"/>
      <c r="K233" s="1467"/>
      <c r="L233" s="1466"/>
      <c r="M233" s="940"/>
      <c r="N233" s="941"/>
      <c r="O233" s="942"/>
      <c r="P233" s="1400"/>
      <c r="Q233" s="1401"/>
      <c r="R233" s="1400"/>
      <c r="S233" s="1402"/>
      <c r="T233" s="1403"/>
      <c r="U233" s="11"/>
    </row>
    <row r="234" spans="1:21" s="10" customFormat="1" ht="21" customHeight="1">
      <c r="A234" s="1201"/>
      <c r="B234" s="1464" t="s">
        <v>1430</v>
      </c>
      <c r="C234" s="1092"/>
      <c r="D234" s="1228"/>
      <c r="E234" s="949"/>
      <c r="F234" s="924"/>
      <c r="G234" s="1389"/>
      <c r="H234" s="1389"/>
      <c r="I234" s="1389"/>
      <c r="J234" s="1389"/>
      <c r="K234" s="1467"/>
      <c r="L234" s="1466"/>
      <c r="M234" s="940"/>
      <c r="N234" s="941"/>
      <c r="O234" s="942"/>
      <c r="P234" s="1400"/>
      <c r="Q234" s="1401"/>
      <c r="R234" s="1400"/>
      <c r="S234" s="1402"/>
      <c r="T234" s="1403"/>
      <c r="U234" s="11"/>
    </row>
    <row r="235" spans="1:21" s="10" customFormat="1" ht="21" customHeight="1">
      <c r="A235" s="1566" t="s">
        <v>282</v>
      </c>
      <c r="B235" s="1464" t="s">
        <v>1431</v>
      </c>
      <c r="C235" s="1092"/>
      <c r="D235" s="1228"/>
      <c r="E235" s="949"/>
      <c r="F235" s="924" t="s">
        <v>1262</v>
      </c>
      <c r="G235" s="1389"/>
      <c r="H235" s="1389"/>
      <c r="I235" s="1389"/>
      <c r="J235" s="1389"/>
      <c r="K235" s="1467"/>
      <c r="L235" s="1466"/>
      <c r="M235" s="940"/>
      <c r="N235" s="941"/>
      <c r="O235" s="942"/>
      <c r="P235" s="1400"/>
      <c r="Q235" s="1401"/>
      <c r="R235" s="1400"/>
      <c r="S235" s="1402"/>
      <c r="T235" s="1403"/>
      <c r="U235" s="11"/>
    </row>
    <row r="236" spans="1:21" s="10" customFormat="1" ht="21" customHeight="1">
      <c r="A236" s="1201" t="s">
        <v>1432</v>
      </c>
      <c r="B236" s="1464" t="s">
        <v>1433</v>
      </c>
      <c r="C236" s="1092"/>
      <c r="D236" s="1228"/>
      <c r="E236" s="949"/>
      <c r="F236" s="924"/>
      <c r="G236" s="1389"/>
      <c r="H236" s="1389"/>
      <c r="I236" s="1389"/>
      <c r="J236" s="1389"/>
      <c r="K236" s="1467"/>
      <c r="L236" s="1466"/>
      <c r="M236" s="940"/>
      <c r="N236" s="941"/>
      <c r="O236" s="942"/>
      <c r="P236" s="1400"/>
      <c r="Q236" s="1401"/>
      <c r="R236" s="1400"/>
      <c r="S236" s="1402"/>
      <c r="T236" s="1403"/>
      <c r="U236" s="11"/>
    </row>
    <row r="237" spans="1:21" s="10" customFormat="1" ht="21" customHeight="1">
      <c r="A237" s="1566" t="s">
        <v>282</v>
      </c>
      <c r="B237" s="1464" t="s">
        <v>1434</v>
      </c>
      <c r="C237" s="1092"/>
      <c r="D237" s="1228"/>
      <c r="E237" s="949"/>
      <c r="F237" s="924" t="s">
        <v>1262</v>
      </c>
      <c r="G237" s="1389"/>
      <c r="H237" s="1389"/>
      <c r="I237" s="1389"/>
      <c r="J237" s="1389"/>
      <c r="K237" s="1467"/>
      <c r="L237" s="1466"/>
      <c r="M237" s="940"/>
      <c r="N237" s="941"/>
      <c r="O237" s="942"/>
      <c r="P237" s="1400"/>
      <c r="Q237" s="1401"/>
      <c r="R237" s="1400"/>
      <c r="S237" s="1402"/>
      <c r="T237" s="1403"/>
      <c r="U237" s="11"/>
    </row>
    <row r="238" spans="1:21" s="10" customFormat="1" ht="21" customHeight="1">
      <c r="A238" s="1201"/>
      <c r="B238" s="1464"/>
      <c r="C238" s="1092"/>
      <c r="D238" s="1228"/>
      <c r="E238" s="949"/>
      <c r="F238" s="924"/>
      <c r="G238" s="1389"/>
      <c r="H238" s="1389"/>
      <c r="I238" s="1389"/>
      <c r="J238" s="1389"/>
      <c r="K238" s="1467"/>
      <c r="L238" s="1466"/>
      <c r="M238" s="940"/>
      <c r="N238" s="941"/>
      <c r="O238" s="942"/>
      <c r="P238" s="1400"/>
      <c r="Q238" s="1401"/>
      <c r="R238" s="1400"/>
      <c r="S238" s="1402"/>
      <c r="T238" s="1403"/>
      <c r="U238" s="11"/>
    </row>
    <row r="239" spans="1:21" s="10" customFormat="1" ht="21" customHeight="1">
      <c r="A239" s="1552">
        <v>12.6</v>
      </c>
      <c r="B239" s="1564" t="s">
        <v>1435</v>
      </c>
      <c r="C239" s="1092"/>
      <c r="D239" s="1228"/>
      <c r="E239" s="949"/>
      <c r="F239" s="924"/>
      <c r="G239" s="1389"/>
      <c r="H239" s="1389"/>
      <c r="I239" s="1389"/>
      <c r="J239" s="1389"/>
      <c r="K239" s="1467"/>
      <c r="L239" s="1466"/>
      <c r="M239" s="940"/>
      <c r="N239" s="941"/>
      <c r="O239" s="942"/>
      <c r="P239" s="1400"/>
      <c r="Q239" s="1401"/>
      <c r="R239" s="1400"/>
      <c r="S239" s="1402"/>
      <c r="T239" s="1403"/>
      <c r="U239" s="11"/>
    </row>
    <row r="240" spans="1:21" s="10" customFormat="1" ht="21" customHeight="1">
      <c r="A240" s="1566" t="s">
        <v>282</v>
      </c>
      <c r="B240" s="1464" t="s">
        <v>1436</v>
      </c>
      <c r="C240" s="1092"/>
      <c r="D240" s="1228"/>
      <c r="E240" s="949"/>
      <c r="F240" s="924" t="s">
        <v>1437</v>
      </c>
      <c r="G240" s="1389"/>
      <c r="H240" s="1389"/>
      <c r="I240" s="1389"/>
      <c r="J240" s="1389"/>
      <c r="K240" s="1467"/>
      <c r="L240" s="1466"/>
      <c r="M240" s="940"/>
      <c r="N240" s="941"/>
      <c r="O240" s="942"/>
      <c r="P240" s="1400"/>
      <c r="Q240" s="1401"/>
      <c r="R240" s="1400"/>
      <c r="S240" s="1402"/>
      <c r="T240" s="1403"/>
      <c r="U240" s="11"/>
    </row>
    <row r="241" spans="1:21" s="10" customFormat="1" ht="21" customHeight="1">
      <c r="A241" s="1566" t="s">
        <v>282</v>
      </c>
      <c r="B241" s="1464" t="s">
        <v>1438</v>
      </c>
      <c r="C241" s="1092"/>
      <c r="D241" s="1228"/>
      <c r="E241" s="949"/>
      <c r="F241" s="924" t="s">
        <v>1437</v>
      </c>
      <c r="G241" s="1389"/>
      <c r="H241" s="1389"/>
      <c r="I241" s="1389"/>
      <c r="J241" s="1389"/>
      <c r="K241" s="1467"/>
      <c r="L241" s="1466"/>
      <c r="M241" s="940"/>
      <c r="N241" s="941"/>
      <c r="O241" s="942"/>
      <c r="P241" s="1400"/>
      <c r="Q241" s="1401"/>
      <c r="R241" s="1400"/>
      <c r="S241" s="1402"/>
      <c r="T241" s="1403"/>
      <c r="U241" s="11"/>
    </row>
    <row r="242" spans="1:21" s="10" customFormat="1" ht="21" customHeight="1">
      <c r="A242" s="1566" t="s">
        <v>282</v>
      </c>
      <c r="B242" s="1464" t="s">
        <v>1439</v>
      </c>
      <c r="C242" s="1092"/>
      <c r="D242" s="1228"/>
      <c r="E242" s="949"/>
      <c r="F242" s="924" t="s">
        <v>284</v>
      </c>
      <c r="G242" s="1389"/>
      <c r="H242" s="1389"/>
      <c r="I242" s="1389"/>
      <c r="J242" s="1389"/>
      <c r="K242" s="1467"/>
      <c r="L242" s="1466"/>
      <c r="M242" s="940"/>
      <c r="N242" s="941"/>
      <c r="O242" s="942"/>
      <c r="P242" s="1400"/>
      <c r="Q242" s="1401"/>
      <c r="R242" s="1400"/>
      <c r="S242" s="1402"/>
      <c r="T242" s="1403"/>
      <c r="U242" s="11"/>
    </row>
    <row r="243" spans="1:21" s="10" customFormat="1" ht="21" customHeight="1">
      <c r="A243" s="1566" t="s">
        <v>282</v>
      </c>
      <c r="B243" s="1464" t="s">
        <v>1440</v>
      </c>
      <c r="C243" s="1092"/>
      <c r="D243" s="1228"/>
      <c r="E243" s="949"/>
      <c r="F243" s="924" t="s">
        <v>284</v>
      </c>
      <c r="G243" s="1389"/>
      <c r="H243" s="1389"/>
      <c r="I243" s="1389"/>
      <c r="J243" s="1389"/>
      <c r="K243" s="1467"/>
      <c r="L243" s="1466"/>
      <c r="M243" s="940"/>
      <c r="N243" s="941"/>
      <c r="O243" s="942"/>
      <c r="P243" s="1400"/>
      <c r="Q243" s="1401"/>
      <c r="R243" s="1400"/>
      <c r="S243" s="1402"/>
      <c r="T243" s="1403"/>
      <c r="U243" s="11"/>
    </row>
    <row r="244" spans="1:21" s="10" customFormat="1" ht="21" customHeight="1">
      <c r="A244" s="1566" t="s">
        <v>282</v>
      </c>
      <c r="B244" s="1464" t="s">
        <v>1441</v>
      </c>
      <c r="C244" s="1092"/>
      <c r="D244" s="1228"/>
      <c r="E244" s="949"/>
      <c r="F244" s="924" t="s">
        <v>284</v>
      </c>
      <c r="G244" s="1389"/>
      <c r="H244" s="1389"/>
      <c r="I244" s="1389"/>
      <c r="J244" s="1389"/>
      <c r="K244" s="1467"/>
      <c r="L244" s="1466"/>
      <c r="M244" s="940"/>
      <c r="N244" s="941"/>
      <c r="O244" s="942"/>
      <c r="P244" s="1400"/>
      <c r="Q244" s="1401"/>
      <c r="R244" s="1400"/>
      <c r="S244" s="1402"/>
      <c r="T244" s="1403"/>
      <c r="U244" s="11"/>
    </row>
    <row r="245" spans="1:21" s="10" customFormat="1" ht="21" customHeight="1">
      <c r="A245" s="1566" t="s">
        <v>282</v>
      </c>
      <c r="B245" s="1464" t="s">
        <v>1442</v>
      </c>
      <c r="C245" s="1092"/>
      <c r="D245" s="1228"/>
      <c r="E245" s="949"/>
      <c r="F245" s="924" t="s">
        <v>284</v>
      </c>
      <c r="G245" s="1389"/>
      <c r="H245" s="1389"/>
      <c r="I245" s="1389"/>
      <c r="J245" s="1389"/>
      <c r="K245" s="1467"/>
      <c r="L245" s="1466"/>
      <c r="M245" s="940"/>
      <c r="N245" s="941"/>
      <c r="O245" s="942"/>
      <c r="P245" s="1400"/>
      <c r="Q245" s="1401"/>
      <c r="R245" s="1400"/>
      <c r="S245" s="1402"/>
      <c r="T245" s="1403"/>
      <c r="U245" s="11"/>
    </row>
    <row r="246" spans="1:21" s="942" customFormat="1" ht="24">
      <c r="A246" s="1568"/>
      <c r="B246" s="1569"/>
      <c r="C246" s="1570"/>
      <c r="D246" s="1571"/>
      <c r="E246" s="1572"/>
      <c r="F246" s="1573"/>
      <c r="G246" s="1574"/>
      <c r="H246" s="1574"/>
      <c r="I246" s="1574"/>
      <c r="J246" s="1574"/>
      <c r="K246" s="1575"/>
      <c r="L246" s="1469"/>
      <c r="M246" s="940"/>
      <c r="N246" s="941"/>
    </row>
    <row r="247" spans="1:21" s="151" customFormat="1" ht="21" customHeight="1">
      <c r="A247" s="1576"/>
      <c r="B247" s="1410"/>
      <c r="C247" s="1404"/>
      <c r="D247" s="1577"/>
      <c r="E247" s="1813" t="s">
        <v>915</v>
      </c>
      <c r="F247" s="1814"/>
      <c r="G247" s="1815"/>
      <c r="H247" s="1578"/>
      <c r="I247" s="1578"/>
      <c r="J247" s="1578"/>
      <c r="K247" s="1578"/>
      <c r="L247" s="1471" t="s">
        <v>14</v>
      </c>
      <c r="M247" s="940"/>
      <c r="N247" s="941"/>
      <c r="O247" s="942"/>
      <c r="P247" s="1405"/>
      <c r="Q247" s="1406"/>
      <c r="R247" s="1405"/>
      <c r="S247" s="1407"/>
      <c r="T247" s="1408"/>
      <c r="U247" s="152"/>
    </row>
    <row r="248" spans="1:21" s="946" customFormat="1" ht="32.25" customHeight="1">
      <c r="A248" s="951"/>
      <c r="B248" s="951"/>
      <c r="C248" s="951"/>
      <c r="D248" s="951"/>
      <c r="E248" s="951"/>
      <c r="F248" s="1421"/>
      <c r="G248" s="1421"/>
      <c r="H248" s="1421"/>
      <c r="I248" s="1421"/>
      <c r="J248" s="1421"/>
      <c r="K248" s="1422"/>
      <c r="L248" s="1422"/>
      <c r="M248" s="952"/>
      <c r="N248" s="953"/>
      <c r="Q248" s="1155"/>
    </row>
    <row r="249" spans="1:21" s="946" customFormat="1" ht="32.25" customHeight="1">
      <c r="A249" s="951"/>
      <c r="B249" s="951"/>
      <c r="C249" s="951"/>
      <c r="D249" s="951"/>
      <c r="E249" s="951"/>
      <c r="F249" s="1421"/>
      <c r="G249" s="1421"/>
      <c r="H249" s="1421"/>
      <c r="I249" s="1421"/>
      <c r="J249" s="1421"/>
      <c r="K249" s="1422"/>
      <c r="L249" s="1422"/>
      <c r="M249" s="952"/>
      <c r="N249" s="953"/>
    </row>
    <row r="250" spans="1:21" s="946" customFormat="1" ht="21.75">
      <c r="C250" s="942"/>
      <c r="D250" s="1093"/>
      <c r="F250" s="1423"/>
      <c r="G250" s="1424"/>
      <c r="H250" s="1425"/>
      <c r="I250" s="1424"/>
      <c r="J250" s="1425"/>
      <c r="K250" s="1426"/>
      <c r="L250" s="1426"/>
      <c r="M250" s="1203"/>
    </row>
    <row r="251" spans="1:21" s="946" customFormat="1" ht="21.75">
      <c r="C251" s="942"/>
      <c r="D251" s="1093"/>
      <c r="F251" s="1423"/>
      <c r="G251" s="1424"/>
      <c r="H251" s="1425"/>
      <c r="I251" s="1424"/>
      <c r="J251" s="1425"/>
      <c r="K251" s="1426"/>
      <c r="L251" s="1426"/>
      <c r="M251" s="1203"/>
    </row>
    <row r="252" spans="1:21" s="946" customFormat="1" ht="21.75">
      <c r="C252" s="942"/>
      <c r="D252" s="1093"/>
      <c r="F252" s="1423"/>
      <c r="G252" s="1424"/>
      <c r="H252" s="1425"/>
      <c r="I252" s="1424"/>
      <c r="J252" s="1425"/>
      <c r="K252" s="1426"/>
      <c r="L252" s="1426"/>
      <c r="M252" s="1203"/>
      <c r="Q252" s="1204"/>
    </row>
    <row r="253" spans="1:21">
      <c r="F253" s="1427"/>
    </row>
    <row r="254" spans="1:21">
      <c r="F254" s="1427"/>
    </row>
    <row r="255" spans="1:21">
      <c r="F255" s="1427"/>
    </row>
    <row r="256" spans="1:21">
      <c r="F256" s="1427"/>
    </row>
    <row r="257" spans="1:22">
      <c r="F257" s="1427"/>
    </row>
    <row r="258" spans="1:22">
      <c r="F258" s="1427"/>
    </row>
    <row r="259" spans="1:22">
      <c r="F259" s="1427"/>
    </row>
    <row r="260" spans="1:22" s="1428" customFormat="1">
      <c r="A260" s="549"/>
      <c r="B260" s="549"/>
      <c r="C260" s="551"/>
      <c r="D260" s="954"/>
      <c r="E260" s="549"/>
      <c r="F260" s="1427"/>
      <c r="H260" s="1429"/>
      <c r="J260" s="1429"/>
      <c r="K260" s="1430"/>
      <c r="L260" s="1430"/>
      <c r="M260" s="936"/>
      <c r="N260" s="549"/>
      <c r="O260" s="549"/>
      <c r="P260" s="549"/>
      <c r="Q260" s="549"/>
      <c r="R260" s="549"/>
      <c r="S260" s="549"/>
      <c r="T260" s="549"/>
      <c r="U260" s="549"/>
      <c r="V260" s="549"/>
    </row>
    <row r="261" spans="1:22" s="1428" customFormat="1">
      <c r="A261" s="549"/>
      <c r="B261" s="549"/>
      <c r="C261" s="551"/>
      <c r="D261" s="954"/>
      <c r="E261" s="549"/>
      <c r="F261" s="1427"/>
      <c r="H261" s="1429"/>
      <c r="J261" s="1429"/>
      <c r="K261" s="1430"/>
      <c r="L261" s="1430"/>
      <c r="M261" s="936"/>
      <c r="N261" s="549"/>
      <c r="O261" s="549"/>
      <c r="P261" s="549"/>
      <c r="Q261" s="549"/>
      <c r="R261" s="549"/>
      <c r="S261" s="549"/>
      <c r="T261" s="549"/>
      <c r="U261" s="549"/>
      <c r="V261" s="549"/>
    </row>
  </sheetData>
  <mergeCells count="17">
    <mergeCell ref="U4:U5"/>
    <mergeCell ref="N6:U6"/>
    <mergeCell ref="A7:A9"/>
    <mergeCell ref="B7:D9"/>
    <mergeCell ref="E7:E9"/>
    <mergeCell ref="F7:F9"/>
    <mergeCell ref="G7:H7"/>
    <mergeCell ref="M7:M9"/>
    <mergeCell ref="M20:M175"/>
    <mergeCell ref="A1:K1"/>
    <mergeCell ref="A2:K2"/>
    <mergeCell ref="A3:K3"/>
    <mergeCell ref="E247:G247"/>
    <mergeCell ref="B43:D43"/>
    <mergeCell ref="I7:J7"/>
    <mergeCell ref="K7:K8"/>
    <mergeCell ref="L7:L8"/>
  </mergeCells>
  <phoneticPr fontId="105" type="noConversion"/>
  <printOptions horizontalCentered="1"/>
  <pageMargins left="0.6" right="0.2" top="0.5" bottom="0.5" header="0.3" footer="0.3"/>
  <pageSetup paperSize="9" scale="68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6"/>
  <sheetViews>
    <sheetView topLeftCell="A29" zoomScaleNormal="100" zoomScaleSheetLayoutView="85" workbookViewId="0">
      <selection activeCell="E44" sqref="E44"/>
    </sheetView>
  </sheetViews>
  <sheetFormatPr defaultColWidth="9.140625" defaultRowHeight="21.75"/>
  <cols>
    <col min="1" max="1" width="6.42578125" style="12" customWidth="1"/>
    <col min="2" max="2" width="5.140625" style="12" customWidth="1"/>
    <col min="3" max="3" width="8" style="28" customWidth="1"/>
    <col min="4" max="4" width="53" style="12" customWidth="1"/>
    <col min="5" max="5" width="10.7109375" style="12" customWidth="1"/>
    <col min="6" max="6" width="10.7109375" style="12" hidden="1" customWidth="1"/>
    <col min="7" max="7" width="7.42578125" style="12" customWidth="1"/>
    <col min="8" max="11" width="15.28515625" style="12" customWidth="1"/>
    <col min="12" max="12" width="19" style="29" customWidth="1"/>
    <col min="13" max="13" width="9.7109375" style="12" customWidth="1"/>
    <col min="14" max="14" width="9.85546875" style="21" bestFit="1" customWidth="1"/>
    <col min="15" max="15" width="9.140625" style="12"/>
    <col min="16" max="16" width="12.140625" style="12" customWidth="1"/>
    <col min="17" max="20" width="14.140625" style="12" customWidth="1"/>
    <col min="21" max="16384" width="9.140625" style="12"/>
  </cols>
  <sheetData>
    <row r="1" spans="1:21" s="10" customFormat="1" ht="39" hidden="1" thickBot="1">
      <c r="A1" s="1660" t="s">
        <v>0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1"/>
      <c r="L1" s="1662"/>
      <c r="N1" s="226"/>
    </row>
    <row r="2" spans="1:21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1665"/>
      <c r="N2" s="227"/>
      <c r="O2" s="11"/>
      <c r="P2" s="11"/>
      <c r="Q2" s="11"/>
      <c r="R2" s="11"/>
      <c r="S2" s="11"/>
      <c r="T2" s="11"/>
      <c r="U2" s="11"/>
    </row>
    <row r="3" spans="1:21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8"/>
      <c r="N3" s="227"/>
      <c r="O3" s="11"/>
      <c r="P3" s="11"/>
      <c r="Q3" s="11"/>
      <c r="R3" s="11"/>
      <c r="S3" s="11"/>
      <c r="T3" s="11"/>
      <c r="U3" s="11"/>
    </row>
    <row r="4" spans="1:21" s="10" customFormat="1" ht="26.25" customHeight="1">
      <c r="A4" s="153" t="s">
        <v>1</v>
      </c>
      <c r="B4" s="89"/>
      <c r="C4" s="90"/>
      <c r="D4" s="89" t="s">
        <v>1443</v>
      </c>
      <c r="E4" s="91"/>
      <c r="F4" s="91"/>
      <c r="G4" s="92"/>
      <c r="H4" s="92"/>
      <c r="I4" s="91"/>
      <c r="J4" s="154" t="s">
        <v>108</v>
      </c>
      <c r="K4" s="98" t="s">
        <v>1444</v>
      </c>
      <c r="L4" s="99"/>
      <c r="N4" s="227"/>
      <c r="O4" s="11"/>
      <c r="P4" s="11"/>
      <c r="Q4" s="11"/>
      <c r="R4" s="11"/>
      <c r="S4" s="11"/>
      <c r="T4" s="1669"/>
      <c r="U4" s="11"/>
    </row>
    <row r="5" spans="1:21" s="10" customFormat="1" ht="27" customHeight="1">
      <c r="A5" s="155" t="s">
        <v>109</v>
      </c>
      <c r="B5" s="94"/>
      <c r="C5" s="95"/>
      <c r="D5" s="94" t="s">
        <v>110</v>
      </c>
      <c r="E5" s="96"/>
      <c r="F5" s="96"/>
      <c r="G5" s="97"/>
      <c r="H5" s="97"/>
      <c r="I5" s="96"/>
      <c r="J5" s="154" t="s">
        <v>111</v>
      </c>
      <c r="K5" s="98"/>
      <c r="L5" s="99"/>
      <c r="N5" s="227"/>
      <c r="O5" s="11"/>
      <c r="P5" s="11"/>
      <c r="Q5" s="11"/>
      <c r="R5" s="11"/>
      <c r="S5" s="11"/>
      <c r="T5" s="1669"/>
      <c r="U5" s="11"/>
    </row>
    <row r="6" spans="1:21" s="10" customFormat="1" ht="27" thickBot="1">
      <c r="A6" s="156" t="s">
        <v>3</v>
      </c>
      <c r="B6" s="101"/>
      <c r="C6" s="102"/>
      <c r="D6" s="101" t="s">
        <v>112</v>
      </c>
      <c r="E6" s="103"/>
      <c r="F6" s="103"/>
      <c r="G6" s="104"/>
      <c r="H6" s="104"/>
      <c r="I6" s="103"/>
      <c r="J6" s="157" t="s">
        <v>113</v>
      </c>
      <c r="K6" s="158"/>
      <c r="L6" s="159"/>
      <c r="N6" s="1670"/>
      <c r="O6" s="1670"/>
      <c r="P6" s="1670"/>
      <c r="Q6" s="1670"/>
      <c r="R6" s="1670"/>
      <c r="S6" s="1670"/>
      <c r="T6" s="1670"/>
      <c r="U6" s="11"/>
    </row>
    <row r="7" spans="1:21" s="28" customFormat="1">
      <c r="A7" s="1687" t="s">
        <v>6</v>
      </c>
      <c r="B7" s="1692" t="s">
        <v>7</v>
      </c>
      <c r="C7" s="1693"/>
      <c r="D7" s="1694"/>
      <c r="E7" s="1699" t="s">
        <v>8</v>
      </c>
      <c r="F7" s="202"/>
      <c r="G7" s="1702" t="s">
        <v>9</v>
      </c>
      <c r="H7" s="1817" t="s">
        <v>10</v>
      </c>
      <c r="I7" s="1818"/>
      <c r="J7" s="1817" t="s">
        <v>11</v>
      </c>
      <c r="K7" s="1818"/>
      <c r="L7" s="1819" t="s">
        <v>13</v>
      </c>
      <c r="N7" s="1684"/>
      <c r="O7" s="1685"/>
      <c r="P7" s="1671"/>
      <c r="Q7" s="1671"/>
      <c r="R7" s="1671"/>
      <c r="S7" s="1671"/>
      <c r="T7" s="1672"/>
      <c r="U7" s="15"/>
    </row>
    <row r="8" spans="1:21" s="28" customFormat="1">
      <c r="A8" s="1687"/>
      <c r="B8" s="1692"/>
      <c r="C8" s="1693"/>
      <c r="D8" s="1694"/>
      <c r="E8" s="1699"/>
      <c r="F8" s="202"/>
      <c r="G8" s="1702"/>
      <c r="H8" s="105" t="s">
        <v>9</v>
      </c>
      <c r="I8" s="106" t="s">
        <v>13</v>
      </c>
      <c r="J8" s="105" t="s">
        <v>9</v>
      </c>
      <c r="K8" s="106" t="s">
        <v>13</v>
      </c>
      <c r="L8" s="1819"/>
      <c r="N8" s="1684"/>
      <c r="O8" s="1685"/>
      <c r="P8" s="1"/>
      <c r="Q8" s="3"/>
      <c r="R8" s="3"/>
      <c r="S8" s="3"/>
      <c r="T8" s="1672"/>
      <c r="U8" s="15"/>
    </row>
    <row r="9" spans="1:21" s="28" customFormat="1">
      <c r="A9" s="1688"/>
      <c r="B9" s="1695"/>
      <c r="C9" s="1696"/>
      <c r="D9" s="1697"/>
      <c r="E9" s="1700"/>
      <c r="F9" s="203"/>
      <c r="G9" s="1703"/>
      <c r="H9" s="107" t="s">
        <v>115</v>
      </c>
      <c r="I9" s="108" t="s">
        <v>14</v>
      </c>
      <c r="J9" s="107" t="s">
        <v>115</v>
      </c>
      <c r="K9" s="108" t="s">
        <v>14</v>
      </c>
      <c r="L9" s="109" t="s">
        <v>14</v>
      </c>
      <c r="N9" s="1684"/>
      <c r="O9" s="1685"/>
      <c r="P9" s="1"/>
      <c r="Q9" s="3"/>
      <c r="R9" s="3"/>
      <c r="S9" s="3"/>
      <c r="T9" s="3"/>
      <c r="U9" s="15"/>
    </row>
    <row r="10" spans="1:21">
      <c r="A10" s="110">
        <v>1</v>
      </c>
      <c r="B10" s="111"/>
      <c r="C10" s="112"/>
      <c r="D10" s="113" t="s">
        <v>117</v>
      </c>
      <c r="E10" s="114"/>
      <c r="F10" s="114"/>
      <c r="G10" s="115"/>
      <c r="H10" s="116"/>
      <c r="I10" s="116">
        <f>SUM(I11:I37)</f>
        <v>3136240</v>
      </c>
      <c r="J10" s="116"/>
      <c r="K10" s="116">
        <f>SUM(K11:K37)</f>
        <v>1484127</v>
      </c>
      <c r="L10" s="133">
        <f>SUM(L11:L37)</f>
        <v>4620367</v>
      </c>
      <c r="N10" s="14"/>
      <c r="O10" s="15"/>
      <c r="P10" s="16"/>
      <c r="Q10" s="16"/>
      <c r="R10" s="16"/>
      <c r="S10" s="16"/>
      <c r="T10" s="16"/>
      <c r="U10" s="13"/>
    </row>
    <row r="11" spans="1:21">
      <c r="A11" s="117"/>
      <c r="B11" s="228">
        <v>1.1000000000000001</v>
      </c>
      <c r="C11" s="137"/>
      <c r="D11" s="229" t="s">
        <v>118</v>
      </c>
      <c r="E11" s="230"/>
      <c r="F11" s="230"/>
      <c r="G11" s="122"/>
      <c r="H11" s="125"/>
      <c r="I11" s="124"/>
      <c r="J11" s="125"/>
      <c r="K11" s="125"/>
      <c r="L11" s="126"/>
      <c r="N11" s="14"/>
      <c r="O11" s="15"/>
      <c r="P11" s="16"/>
      <c r="Q11" s="17"/>
      <c r="R11" s="16"/>
      <c r="S11" s="16"/>
      <c r="T11" s="18"/>
      <c r="U11" s="13"/>
    </row>
    <row r="12" spans="1:21">
      <c r="A12" s="231"/>
      <c r="B12" s="118"/>
      <c r="C12" s="127" t="s">
        <v>119</v>
      </c>
      <c r="D12" s="128" t="s">
        <v>120</v>
      </c>
      <c r="E12" s="232">
        <v>950</v>
      </c>
      <c r="F12" s="232">
        <v>950</v>
      </c>
      <c r="G12" s="122" t="s">
        <v>121</v>
      </c>
      <c r="H12" s="123">
        <v>0</v>
      </c>
      <c r="I12" s="124">
        <f t="shared" ref="I12:I37" si="0">E12*H12</f>
        <v>0</v>
      </c>
      <c r="J12" s="123">
        <v>110</v>
      </c>
      <c r="K12" s="125">
        <f t="shared" ref="K12:K37" si="1">J12*E12</f>
        <v>104500</v>
      </c>
      <c r="L12" s="126">
        <f>K12+I12</f>
        <v>104500</v>
      </c>
      <c r="N12" s="14"/>
      <c r="O12" s="15"/>
      <c r="P12" s="20"/>
      <c r="Q12" s="17"/>
      <c r="R12" s="20"/>
      <c r="S12" s="16"/>
      <c r="T12" s="18"/>
      <c r="U12" s="13"/>
    </row>
    <row r="13" spans="1:21">
      <c r="A13" s="117"/>
      <c r="B13" s="118"/>
      <c r="C13" s="127" t="s">
        <v>122</v>
      </c>
      <c r="D13" s="128" t="s">
        <v>123</v>
      </c>
      <c r="E13" s="121">
        <v>301</v>
      </c>
      <c r="F13" s="121">
        <f>'[20]Back up (F1''C1)'!T5+'[20]Back up (F2''C1)'!T5+'[20]Back up (F3''C2)'!T5</f>
        <v>300.50800000000004</v>
      </c>
      <c r="G13" s="122" t="s">
        <v>124</v>
      </c>
      <c r="H13" s="123">
        <v>0</v>
      </c>
      <c r="I13" s="124">
        <f t="shared" si="0"/>
        <v>0</v>
      </c>
      <c r="J13" s="123">
        <v>55</v>
      </c>
      <c r="K13" s="125">
        <f t="shared" si="1"/>
        <v>16555</v>
      </c>
      <c r="L13" s="126">
        <f t="shared" ref="L13:L37" si="2">K13+I13</f>
        <v>16555</v>
      </c>
      <c r="N13" s="14"/>
      <c r="O13" s="15"/>
      <c r="P13" s="20"/>
      <c r="Q13" s="17"/>
      <c r="R13" s="20"/>
      <c r="S13" s="16"/>
      <c r="T13" s="18"/>
      <c r="U13" s="13"/>
    </row>
    <row r="14" spans="1:21">
      <c r="A14" s="117"/>
      <c r="B14" s="118"/>
      <c r="C14" s="127" t="s">
        <v>125</v>
      </c>
      <c r="D14" s="128" t="s">
        <v>126</v>
      </c>
      <c r="E14" s="121">
        <v>264</v>
      </c>
      <c r="F14" s="121">
        <f>'[20]Back up (F1''C1)'!T6+'[20]Back up (F2''C1)'!T6+'[20]Back up (F3''C2)'!T6</f>
        <v>263.65864197530868</v>
      </c>
      <c r="G14" s="122" t="s">
        <v>124</v>
      </c>
      <c r="H14" s="123">
        <v>0</v>
      </c>
      <c r="I14" s="124">
        <f t="shared" si="0"/>
        <v>0</v>
      </c>
      <c r="J14" s="123">
        <v>55</v>
      </c>
      <c r="K14" s="125">
        <f t="shared" si="1"/>
        <v>14520</v>
      </c>
      <c r="L14" s="126">
        <f t="shared" si="2"/>
        <v>14520</v>
      </c>
      <c r="N14" s="14"/>
      <c r="O14" s="15"/>
      <c r="P14" s="20"/>
      <c r="Q14" s="17"/>
      <c r="R14" s="20"/>
      <c r="S14" s="16"/>
      <c r="T14" s="18"/>
      <c r="U14" s="13"/>
    </row>
    <row r="15" spans="1:21">
      <c r="A15" s="117"/>
      <c r="B15" s="118"/>
      <c r="C15" s="127" t="s">
        <v>127</v>
      </c>
      <c r="D15" s="128" t="s">
        <v>128</v>
      </c>
      <c r="E15" s="121">
        <v>12</v>
      </c>
      <c r="F15" s="121">
        <f>'[20]Back up (F1''C1)'!T7+'[20]Back up (F2''C1)'!T7+'[20]Back up (F3''C2)'!T7</f>
        <v>12.060000000000002</v>
      </c>
      <c r="G15" s="122" t="s">
        <v>124</v>
      </c>
      <c r="H15" s="123">
        <v>640</v>
      </c>
      <c r="I15" s="124">
        <f t="shared" si="0"/>
        <v>7680</v>
      </c>
      <c r="J15" s="123">
        <v>120</v>
      </c>
      <c r="K15" s="125">
        <f t="shared" si="1"/>
        <v>1440</v>
      </c>
      <c r="L15" s="126">
        <f t="shared" si="2"/>
        <v>9120</v>
      </c>
      <c r="N15" s="14"/>
      <c r="O15" s="15"/>
      <c r="P15" s="20"/>
      <c r="Q15" s="17"/>
      <c r="R15" s="20"/>
      <c r="S15" s="16"/>
      <c r="T15" s="18"/>
      <c r="U15" s="13"/>
    </row>
    <row r="16" spans="1:21">
      <c r="A16" s="117"/>
      <c r="B16" s="118"/>
      <c r="C16" s="127" t="s">
        <v>129</v>
      </c>
      <c r="D16" s="128" t="s">
        <v>987</v>
      </c>
      <c r="E16" s="121">
        <v>9</v>
      </c>
      <c r="F16" s="121">
        <f>'[20]Back up (F1''C1)'!T8+'[20]Back up (F2''C1)'!T8+'[20]Back up (F3''C2)'!T8+'[20]Back up (B1)'!V8+'[20]Back up (B2)'!V8+'[20]Back up (B3)'!W8</f>
        <v>9.365000000000002</v>
      </c>
      <c r="G16" s="122" t="s">
        <v>124</v>
      </c>
      <c r="H16" s="123">
        <v>3100</v>
      </c>
      <c r="I16" s="124">
        <f t="shared" si="0"/>
        <v>27900</v>
      </c>
      <c r="J16" s="123">
        <v>300</v>
      </c>
      <c r="K16" s="125">
        <f t="shared" si="1"/>
        <v>2700</v>
      </c>
      <c r="L16" s="126">
        <f t="shared" si="2"/>
        <v>30600</v>
      </c>
      <c r="N16" s="14"/>
      <c r="O16" s="15"/>
      <c r="P16" s="20"/>
      <c r="Q16" s="17"/>
      <c r="R16" s="20"/>
      <c r="S16" s="16"/>
      <c r="T16" s="18"/>
      <c r="U16" s="13"/>
    </row>
    <row r="17" spans="1:21">
      <c r="A17" s="117"/>
      <c r="B17" s="118"/>
      <c r="C17" s="127" t="s">
        <v>131</v>
      </c>
      <c r="D17" s="128" t="s">
        <v>132</v>
      </c>
      <c r="E17" s="121">
        <v>135</v>
      </c>
      <c r="F17" s="121">
        <f>'[20]Back up (F1''C1)'!T9+'[20]Back up (F2''C1)'!T9+'[20]Back up (F3''C2)'!T9+'[20]Back up (B1)'!V9+'[20]Back up (B2)'!V9+'[20]Back up (B3)'!W9+'[20]Back up (B4)'!W9+'[20]Back up (B5)'!W9+'[20]Back up (C1)'!T9+'[20]Back up (C2)'!T9+'[20]Back up (Slab)'!G5+'[20]Back up (Slab)'!G10+'[20]Back up (Slab)'!G15</f>
        <v>134.88600000000002</v>
      </c>
      <c r="G17" s="122" t="s">
        <v>124</v>
      </c>
      <c r="H17" s="123">
        <v>3700</v>
      </c>
      <c r="I17" s="124">
        <f t="shared" si="0"/>
        <v>499500</v>
      </c>
      <c r="J17" s="123">
        <v>450</v>
      </c>
      <c r="K17" s="125">
        <f t="shared" si="1"/>
        <v>60750</v>
      </c>
      <c r="L17" s="126">
        <f t="shared" si="2"/>
        <v>560250</v>
      </c>
      <c r="N17" s="14"/>
      <c r="O17" s="15"/>
      <c r="P17" s="20"/>
      <c r="Q17" s="17"/>
      <c r="R17" s="20"/>
      <c r="S17" s="16"/>
      <c r="T17" s="18"/>
      <c r="U17" s="13"/>
    </row>
    <row r="18" spans="1:21">
      <c r="A18" s="117"/>
      <c r="B18" s="118"/>
      <c r="C18" s="127" t="s">
        <v>133</v>
      </c>
      <c r="D18" s="128" t="s">
        <v>134</v>
      </c>
      <c r="E18" s="121">
        <v>923</v>
      </c>
      <c r="F18" s="121">
        <f>'[20]Back up (F1''C1)'!T10+'[20]Back up (F2''C1)'!T10+'[20]Back up (F3''C2)'!T10+'[20]Back up (B1)'!V10+'[20]Back up (B2)'!V10+'[20]Back up (B3)'!W10+'[20]Back up (B4)'!W10+'[20]Back up (B5)'!W10+'[20]Back up (C1)'!T10+'[20]Back up (C2)'!T10+'[20]Back up (Slab)'!M15+14</f>
        <v>922.67999999999984</v>
      </c>
      <c r="G18" s="122" t="s">
        <v>121</v>
      </c>
      <c r="H18" s="123">
        <v>350</v>
      </c>
      <c r="I18" s="124">
        <f t="shared" si="0"/>
        <v>323050</v>
      </c>
      <c r="J18" s="123">
        <v>180</v>
      </c>
      <c r="K18" s="125">
        <f t="shared" si="1"/>
        <v>166140</v>
      </c>
      <c r="L18" s="126">
        <f t="shared" si="2"/>
        <v>489190</v>
      </c>
      <c r="N18" s="14"/>
      <c r="O18" s="15"/>
      <c r="P18" s="20"/>
      <c r="Q18" s="17"/>
      <c r="R18" s="20"/>
      <c r="S18" s="16"/>
      <c r="T18" s="18"/>
      <c r="U18" s="13"/>
    </row>
    <row r="19" spans="1:21">
      <c r="A19" s="117"/>
      <c r="B19" s="118"/>
      <c r="C19" s="127" t="s">
        <v>135</v>
      </c>
      <c r="D19" s="128" t="s">
        <v>136</v>
      </c>
      <c r="E19" s="121"/>
      <c r="F19" s="121"/>
      <c r="G19" s="122"/>
      <c r="H19" s="123">
        <v>0</v>
      </c>
      <c r="I19" s="124">
        <f t="shared" si="0"/>
        <v>0</v>
      </c>
      <c r="J19" s="123">
        <v>0</v>
      </c>
      <c r="K19" s="125">
        <f t="shared" si="1"/>
        <v>0</v>
      </c>
      <c r="L19" s="126">
        <f t="shared" si="2"/>
        <v>0</v>
      </c>
      <c r="N19" s="14"/>
      <c r="O19" s="15"/>
      <c r="P19" s="20"/>
      <c r="Q19" s="17"/>
      <c r="R19" s="20"/>
      <c r="S19" s="16"/>
      <c r="T19" s="18"/>
      <c r="U19" s="13"/>
    </row>
    <row r="20" spans="1:21">
      <c r="A20" s="117"/>
      <c r="B20" s="118"/>
      <c r="C20" s="127"/>
      <c r="D20" s="135" t="s">
        <v>137</v>
      </c>
      <c r="E20" s="121">
        <v>7516</v>
      </c>
      <c r="F20" s="121">
        <f>'[20]Back up (F1''C1)'!T13+'[20]Back up (F2''C1)'!T13+'[20]Back up (F3''C2)'!T13+'[20]Back up (B1)'!V13+'[20]Back up (B2)'!V13+'[20]Back up (B3)'!W13+'[20]Back up (B4)'!W13+'[20]Back up (B5)'!W13+'[20]Back up (C1)'!T13+'[20]Back up (C2)'!T13+'[20]Back up (Slab)'!G7</f>
        <v>7516.3959794000011</v>
      </c>
      <c r="G20" s="122" t="s">
        <v>138</v>
      </c>
      <c r="H20" s="123">
        <v>35</v>
      </c>
      <c r="I20" s="124">
        <f t="shared" si="0"/>
        <v>263060</v>
      </c>
      <c r="J20" s="123">
        <v>7</v>
      </c>
      <c r="K20" s="125">
        <f t="shared" si="1"/>
        <v>52612</v>
      </c>
      <c r="L20" s="126">
        <f t="shared" si="2"/>
        <v>315672</v>
      </c>
      <c r="N20" s="14"/>
      <c r="O20" s="15"/>
      <c r="P20" s="20"/>
      <c r="Q20" s="17"/>
      <c r="R20" s="20"/>
      <c r="S20" s="16"/>
      <c r="T20" s="18"/>
      <c r="U20" s="13"/>
    </row>
    <row r="21" spans="1:21">
      <c r="A21" s="117"/>
      <c r="B21" s="118"/>
      <c r="C21" s="127"/>
      <c r="D21" s="135" t="s">
        <v>139</v>
      </c>
      <c r="E21" s="121">
        <v>983</v>
      </c>
      <c r="F21" s="121">
        <f>'[20]Back up (F1''C1)'!T14+'[20]Back up (F2''C1)'!T14+'[20]Back up (F3''C2)'!T14+'[20]Back up (B1)'!V14+'[20]Back up (B2)'!V14+'[20]Back up (C1)'!T14</f>
        <v>982.63238400000012</v>
      </c>
      <c r="G21" s="122" t="s">
        <v>138</v>
      </c>
      <c r="H21" s="123">
        <v>35</v>
      </c>
      <c r="I21" s="124">
        <f t="shared" si="0"/>
        <v>34405</v>
      </c>
      <c r="J21" s="123">
        <v>7</v>
      </c>
      <c r="K21" s="125">
        <f t="shared" si="1"/>
        <v>6881</v>
      </c>
      <c r="L21" s="126">
        <f t="shared" si="2"/>
        <v>41286</v>
      </c>
      <c r="N21" s="14"/>
      <c r="O21" s="15"/>
      <c r="P21" s="20"/>
      <c r="Q21" s="17"/>
      <c r="R21" s="20"/>
      <c r="S21" s="16"/>
      <c r="T21" s="18"/>
      <c r="U21" s="13"/>
    </row>
    <row r="22" spans="1:21">
      <c r="A22" s="117"/>
      <c r="B22" s="118"/>
      <c r="C22" s="127"/>
      <c r="D22" s="135" t="s">
        <v>140</v>
      </c>
      <c r="E22" s="121">
        <v>3765</v>
      </c>
      <c r="F22" s="121">
        <f>'[20]Back up (F1''C1)'!T15+'[20]Back up (F2''C1)'!T15+'[20]Back up (F3''C2)'!T15+'[20]Back up (B2)'!V15+'[20]Back up (B3)'!W15+'[20]Back up (C2)'!T15</f>
        <v>3764.8289896155216</v>
      </c>
      <c r="G22" s="122" t="s">
        <v>138</v>
      </c>
      <c r="H22" s="123">
        <v>35</v>
      </c>
      <c r="I22" s="124">
        <f t="shared" si="0"/>
        <v>131775</v>
      </c>
      <c r="J22" s="123">
        <v>7</v>
      </c>
      <c r="K22" s="125">
        <f t="shared" si="1"/>
        <v>26355</v>
      </c>
      <c r="L22" s="126">
        <f t="shared" si="2"/>
        <v>158130</v>
      </c>
      <c r="N22" s="14"/>
      <c r="O22" s="15"/>
      <c r="P22" s="20"/>
      <c r="Q22" s="17"/>
      <c r="R22" s="20"/>
      <c r="S22" s="16"/>
      <c r="T22" s="18"/>
      <c r="U22" s="13"/>
    </row>
    <row r="23" spans="1:21">
      <c r="A23" s="117"/>
      <c r="B23" s="118"/>
      <c r="C23" s="127"/>
      <c r="D23" s="135" t="s">
        <v>141</v>
      </c>
      <c r="E23" s="121">
        <v>3427</v>
      </c>
      <c r="F23" s="121">
        <f>'[20]Back up (B4)'!W16+'[20]Back up (B5)'!W16</f>
        <v>3427.4933999999994</v>
      </c>
      <c r="G23" s="122" t="s">
        <v>138</v>
      </c>
      <c r="H23" s="123">
        <v>35</v>
      </c>
      <c r="I23" s="124">
        <f t="shared" si="0"/>
        <v>119945</v>
      </c>
      <c r="J23" s="123">
        <v>7</v>
      </c>
      <c r="K23" s="125">
        <f t="shared" si="1"/>
        <v>23989</v>
      </c>
      <c r="L23" s="126">
        <f t="shared" si="2"/>
        <v>143934</v>
      </c>
      <c r="N23" s="14"/>
      <c r="O23" s="15"/>
      <c r="P23" s="20"/>
      <c r="Q23" s="17"/>
      <c r="R23" s="20"/>
      <c r="S23" s="16"/>
      <c r="T23" s="18"/>
      <c r="U23" s="13"/>
    </row>
    <row r="24" spans="1:21">
      <c r="A24" s="117"/>
      <c r="B24" s="118"/>
      <c r="C24" s="127" t="s">
        <v>142</v>
      </c>
      <c r="D24" s="128" t="s">
        <v>143</v>
      </c>
      <c r="E24" s="121">
        <v>440</v>
      </c>
      <c r="F24" s="121">
        <f>'[20]Back up (F1''C1)'!T17+'[20]Back up (F2''C1)'!T17+'[20]Back up (F3''C2)'!T17+'[20]Back up (B1)'!V17+'[20]Back up (B2)'!V17+'[20]Back up (B3)'!W17+'[20]Back up (B4)'!W17+'[20]Back up (B5)'!W17+'[20]Back up (C1)'!T17+'[20]Back up (C2)'!T17</f>
        <v>439.66280259046567</v>
      </c>
      <c r="G24" s="122" t="s">
        <v>138</v>
      </c>
      <c r="H24" s="123">
        <v>50</v>
      </c>
      <c r="I24" s="124">
        <f t="shared" si="0"/>
        <v>22000</v>
      </c>
      <c r="J24" s="123">
        <v>0</v>
      </c>
      <c r="K24" s="125">
        <f t="shared" si="1"/>
        <v>0</v>
      </c>
      <c r="L24" s="126">
        <f t="shared" si="2"/>
        <v>22000</v>
      </c>
      <c r="N24" s="14"/>
      <c r="O24" s="15"/>
      <c r="P24" s="20"/>
      <c r="Q24" s="17"/>
      <c r="R24" s="20"/>
      <c r="S24" s="16"/>
      <c r="T24" s="18"/>
      <c r="U24" s="13"/>
    </row>
    <row r="25" spans="1:21">
      <c r="A25" s="117"/>
      <c r="B25" s="118"/>
      <c r="C25" s="127" t="s">
        <v>144</v>
      </c>
      <c r="D25" s="128" t="s">
        <v>145</v>
      </c>
      <c r="E25" s="121">
        <v>182</v>
      </c>
      <c r="F25" s="121">
        <f>'[20]Back up (F1''C1)'!T18+'[20]Back up (F2''C1)'!T18+'[20]Back up (F3''C2)'!T18+'[20]Back up (B1)'!V18+'[20]Back up (B2)'!V18+'[20]Back up (B3)'!W18+'[20]Back up (B4)'!W18+'[20]Back up (B5)'!W18+'[20]Back up (C1)'!T18+'[20]Back up (C2)'!T18</f>
        <v>181.73599999999999</v>
      </c>
      <c r="G25" s="122" t="s">
        <v>138</v>
      </c>
      <c r="H25" s="123">
        <v>50</v>
      </c>
      <c r="I25" s="124">
        <f t="shared" si="0"/>
        <v>9100</v>
      </c>
      <c r="J25" s="123">
        <v>0</v>
      </c>
      <c r="K25" s="125">
        <f t="shared" si="1"/>
        <v>0</v>
      </c>
      <c r="L25" s="126">
        <f t="shared" si="2"/>
        <v>9100</v>
      </c>
      <c r="N25" s="14"/>
      <c r="O25" s="15"/>
      <c r="P25" s="20"/>
      <c r="Q25" s="17"/>
      <c r="R25" s="20"/>
      <c r="S25" s="16"/>
      <c r="T25" s="18"/>
      <c r="U25" s="13"/>
    </row>
    <row r="26" spans="1:21">
      <c r="A26" s="117"/>
      <c r="B26" s="228"/>
      <c r="C26" s="127" t="s">
        <v>146</v>
      </c>
      <c r="D26" s="229" t="s">
        <v>147</v>
      </c>
      <c r="E26" s="121">
        <v>557</v>
      </c>
      <c r="F26" s="121">
        <v>557</v>
      </c>
      <c r="G26" s="122" t="s">
        <v>121</v>
      </c>
      <c r="H26" s="123">
        <v>40</v>
      </c>
      <c r="I26" s="124">
        <f t="shared" si="0"/>
        <v>22280</v>
      </c>
      <c r="J26" s="123">
        <v>30</v>
      </c>
      <c r="K26" s="125">
        <f t="shared" si="1"/>
        <v>16710</v>
      </c>
      <c r="L26" s="126">
        <f t="shared" si="2"/>
        <v>38990</v>
      </c>
      <c r="N26" s="14"/>
      <c r="O26" s="15"/>
      <c r="P26" s="20"/>
      <c r="Q26" s="17"/>
      <c r="R26" s="20"/>
      <c r="S26" s="16"/>
      <c r="T26" s="18"/>
      <c r="U26" s="13"/>
    </row>
    <row r="27" spans="1:21">
      <c r="A27" s="117"/>
      <c r="B27" s="228"/>
      <c r="C27" s="127" t="s">
        <v>148</v>
      </c>
      <c r="D27" s="229" t="s">
        <v>149</v>
      </c>
      <c r="E27" s="121">
        <v>226</v>
      </c>
      <c r="F27" s="121">
        <v>226</v>
      </c>
      <c r="G27" s="122" t="s">
        <v>121</v>
      </c>
      <c r="H27" s="123">
        <v>85</v>
      </c>
      <c r="I27" s="124">
        <f t="shared" si="0"/>
        <v>19210</v>
      </c>
      <c r="J27" s="123">
        <v>30</v>
      </c>
      <c r="K27" s="125">
        <f t="shared" si="1"/>
        <v>6780</v>
      </c>
      <c r="L27" s="126">
        <f t="shared" si="2"/>
        <v>25990</v>
      </c>
      <c r="N27" s="14"/>
      <c r="O27" s="15"/>
      <c r="P27" s="20"/>
      <c r="Q27" s="17"/>
      <c r="R27" s="20"/>
      <c r="S27" s="16"/>
      <c r="T27" s="18"/>
      <c r="U27" s="13"/>
    </row>
    <row r="28" spans="1:21">
      <c r="A28" s="117"/>
      <c r="B28" s="228">
        <v>1.2</v>
      </c>
      <c r="C28" s="137"/>
      <c r="D28" s="229" t="s">
        <v>150</v>
      </c>
      <c r="E28" s="121">
        <v>557</v>
      </c>
      <c r="F28" s="121">
        <v>557</v>
      </c>
      <c r="G28" s="122" t="s">
        <v>121</v>
      </c>
      <c r="H28" s="123">
        <v>400</v>
      </c>
      <c r="I28" s="124">
        <f t="shared" si="0"/>
        <v>222800</v>
      </c>
      <c r="J28" s="123">
        <v>185</v>
      </c>
      <c r="K28" s="125">
        <f t="shared" si="1"/>
        <v>103045</v>
      </c>
      <c r="L28" s="126">
        <f t="shared" si="2"/>
        <v>325845</v>
      </c>
      <c r="N28" s="14"/>
      <c r="O28" s="15"/>
      <c r="P28" s="20"/>
      <c r="Q28" s="17"/>
      <c r="R28" s="20"/>
      <c r="S28" s="16"/>
      <c r="T28" s="18"/>
      <c r="U28" s="13"/>
    </row>
    <row r="29" spans="1:21">
      <c r="A29" s="117"/>
      <c r="B29" s="228">
        <v>1.3</v>
      </c>
      <c r="C29" s="137"/>
      <c r="D29" s="229" t="s">
        <v>151</v>
      </c>
      <c r="E29" s="121"/>
      <c r="F29" s="121"/>
      <c r="G29" s="122"/>
      <c r="H29" s="123">
        <v>0</v>
      </c>
      <c r="I29" s="124">
        <f t="shared" si="0"/>
        <v>0</v>
      </c>
      <c r="J29" s="123">
        <v>0</v>
      </c>
      <c r="K29" s="125">
        <f t="shared" si="1"/>
        <v>0</v>
      </c>
      <c r="L29" s="126">
        <f t="shared" si="2"/>
        <v>0</v>
      </c>
      <c r="N29" s="14"/>
      <c r="O29" s="15"/>
      <c r="P29" s="20"/>
      <c r="Q29" s="17"/>
      <c r="R29" s="20"/>
      <c r="S29" s="16"/>
      <c r="T29" s="18"/>
      <c r="U29" s="13"/>
    </row>
    <row r="30" spans="1:21">
      <c r="A30" s="117"/>
      <c r="B30" s="228"/>
      <c r="C30" s="127" t="s">
        <v>152</v>
      </c>
      <c r="D30" s="229" t="s">
        <v>153</v>
      </c>
      <c r="E30" s="121">
        <v>7233</v>
      </c>
      <c r="F30" s="121">
        <f>'[20]Back up (roof beam&amp;Roof frame)'!I22</f>
        <v>7233.4</v>
      </c>
      <c r="G30" s="122" t="s">
        <v>138</v>
      </c>
      <c r="H30" s="123">
        <v>55</v>
      </c>
      <c r="I30" s="124">
        <f t="shared" si="0"/>
        <v>397815</v>
      </c>
      <c r="J30" s="123">
        <v>40</v>
      </c>
      <c r="K30" s="125">
        <f t="shared" si="1"/>
        <v>289320</v>
      </c>
      <c r="L30" s="126">
        <f t="shared" si="2"/>
        <v>687135</v>
      </c>
      <c r="N30" s="14"/>
      <c r="O30" s="15"/>
      <c r="P30" s="20"/>
      <c r="Q30" s="17"/>
      <c r="R30" s="20"/>
      <c r="S30" s="16"/>
      <c r="T30" s="18"/>
      <c r="U30" s="13"/>
    </row>
    <row r="31" spans="1:21">
      <c r="A31" s="117"/>
      <c r="B31" s="118"/>
      <c r="C31" s="127" t="s">
        <v>154</v>
      </c>
      <c r="D31" s="128" t="s">
        <v>155</v>
      </c>
      <c r="E31" s="121">
        <v>5571</v>
      </c>
      <c r="F31" s="121">
        <f>'[20]Back up (roof beam&amp;Roof frame)'!I10+'[20]Back up (roof beam&amp;Roof frame)'!I14+'[20]Back up (roof beam&amp;Roof frame)'!I18</f>
        <v>5570.7084999999997</v>
      </c>
      <c r="G31" s="122" t="s">
        <v>138</v>
      </c>
      <c r="H31" s="123">
        <v>55</v>
      </c>
      <c r="I31" s="124">
        <f t="shared" si="0"/>
        <v>306405</v>
      </c>
      <c r="J31" s="123">
        <v>40</v>
      </c>
      <c r="K31" s="125">
        <f t="shared" si="1"/>
        <v>222840</v>
      </c>
      <c r="L31" s="126">
        <f t="shared" si="2"/>
        <v>529245</v>
      </c>
      <c r="N31" s="14"/>
      <c r="O31" s="15"/>
      <c r="P31" s="20"/>
      <c r="Q31" s="17"/>
      <c r="R31" s="20"/>
      <c r="S31" s="16"/>
      <c r="T31" s="18"/>
      <c r="U31" s="13"/>
    </row>
    <row r="32" spans="1:21">
      <c r="A32" s="117"/>
      <c r="B32" s="118"/>
      <c r="C32" s="127" t="s">
        <v>156</v>
      </c>
      <c r="D32" s="128" t="s">
        <v>159</v>
      </c>
      <c r="E32" s="121">
        <v>4401</v>
      </c>
      <c r="F32" s="121">
        <f>'[20]Back up (roof beam&amp;Roof frame)'!I6</f>
        <v>4401.0960000000005</v>
      </c>
      <c r="G32" s="122" t="s">
        <v>138</v>
      </c>
      <c r="H32" s="123">
        <v>55</v>
      </c>
      <c r="I32" s="124">
        <f t="shared" si="0"/>
        <v>242055</v>
      </c>
      <c r="J32" s="123">
        <v>40</v>
      </c>
      <c r="K32" s="125">
        <f t="shared" si="1"/>
        <v>176040</v>
      </c>
      <c r="L32" s="126">
        <f t="shared" si="2"/>
        <v>418095</v>
      </c>
      <c r="N32" s="14"/>
      <c r="O32" s="15"/>
      <c r="P32" s="20"/>
      <c r="Q32" s="17"/>
      <c r="R32" s="20"/>
      <c r="S32" s="16"/>
      <c r="T32" s="18"/>
      <c r="U32" s="13"/>
    </row>
    <row r="33" spans="1:21">
      <c r="A33" s="117"/>
      <c r="B33" s="118"/>
      <c r="C33" s="127" t="s">
        <v>158</v>
      </c>
      <c r="D33" s="128" t="s">
        <v>161</v>
      </c>
      <c r="E33" s="121">
        <v>927</v>
      </c>
      <c r="F33" s="121">
        <f>'[20]Back up (roof beam&amp;Roof frame)'!I10</f>
        <v>926.9</v>
      </c>
      <c r="G33" s="122" t="s">
        <v>138</v>
      </c>
      <c r="H33" s="123">
        <v>90</v>
      </c>
      <c r="I33" s="124">
        <f t="shared" si="0"/>
        <v>83430</v>
      </c>
      <c r="J33" s="123">
        <v>40</v>
      </c>
      <c r="K33" s="125">
        <f t="shared" si="1"/>
        <v>37080</v>
      </c>
      <c r="L33" s="126">
        <f t="shared" si="2"/>
        <v>120510</v>
      </c>
      <c r="N33" s="14"/>
      <c r="O33" s="15"/>
      <c r="P33" s="20"/>
      <c r="Q33" s="17"/>
      <c r="R33" s="20"/>
      <c r="S33" s="16"/>
      <c r="T33" s="18"/>
      <c r="U33" s="13"/>
    </row>
    <row r="34" spans="1:21">
      <c r="A34" s="117"/>
      <c r="B34" s="118"/>
      <c r="C34" s="127" t="s">
        <v>160</v>
      </c>
      <c r="D34" s="128" t="s">
        <v>593</v>
      </c>
      <c r="E34" s="121">
        <v>1199</v>
      </c>
      <c r="F34" s="121">
        <f>'[20]Back up (roof beam&amp;Roof frame)'!I7+'[20]Back up (roof beam&amp;Roof frame)'!I11+'[20]Back up (roof beam&amp;Roof frame)'!I15+'[20]Back up (roof beam&amp;Roof frame)'!I19+'[20]Back up (roof beam&amp;Roof frame)'!I23</f>
        <v>1198.8240000000001</v>
      </c>
      <c r="G34" s="122" t="s">
        <v>121</v>
      </c>
      <c r="H34" s="123">
        <v>90</v>
      </c>
      <c r="I34" s="124">
        <f t="shared" si="0"/>
        <v>107910</v>
      </c>
      <c r="J34" s="123">
        <v>65</v>
      </c>
      <c r="K34" s="125">
        <f t="shared" si="1"/>
        <v>77935</v>
      </c>
      <c r="L34" s="126">
        <f t="shared" si="2"/>
        <v>185845</v>
      </c>
      <c r="N34" s="14"/>
      <c r="O34" s="15"/>
      <c r="P34" s="20"/>
      <c r="Q34" s="17"/>
      <c r="R34" s="20"/>
      <c r="S34" s="16"/>
      <c r="T34" s="18"/>
      <c r="U34" s="13"/>
    </row>
    <row r="35" spans="1:21">
      <c r="A35" s="117"/>
      <c r="B35" s="118"/>
      <c r="C35" s="127" t="s">
        <v>162</v>
      </c>
      <c r="D35" s="128" t="s">
        <v>594</v>
      </c>
      <c r="E35" s="121">
        <v>1199</v>
      </c>
      <c r="F35" s="121">
        <v>1199</v>
      </c>
      <c r="G35" s="122" t="s">
        <v>121</v>
      </c>
      <c r="H35" s="123">
        <v>80</v>
      </c>
      <c r="I35" s="124">
        <f t="shared" si="0"/>
        <v>95920</v>
      </c>
      <c r="J35" s="123">
        <v>65</v>
      </c>
      <c r="K35" s="125">
        <f t="shared" si="1"/>
        <v>77935</v>
      </c>
      <c r="L35" s="126">
        <f t="shared" si="2"/>
        <v>173855</v>
      </c>
      <c r="N35" s="14"/>
      <c r="O35" s="15"/>
      <c r="P35" s="20"/>
      <c r="Q35" s="17"/>
      <c r="R35" s="20"/>
      <c r="S35" s="16"/>
      <c r="T35" s="18"/>
      <c r="U35" s="13"/>
    </row>
    <row r="36" spans="1:21">
      <c r="A36" s="117"/>
      <c r="B36" s="118"/>
      <c r="C36" s="127" t="s">
        <v>164</v>
      </c>
      <c r="D36" s="128" t="s">
        <v>170</v>
      </c>
      <c r="E36" s="121">
        <v>1</v>
      </c>
      <c r="F36" s="121">
        <v>1</v>
      </c>
      <c r="G36" s="122" t="s">
        <v>171</v>
      </c>
      <c r="H36" s="123">
        <v>200000</v>
      </c>
      <c r="I36" s="124">
        <f t="shared" si="0"/>
        <v>200000</v>
      </c>
      <c r="J36" s="123">
        <v>0</v>
      </c>
      <c r="K36" s="125">
        <f t="shared" si="1"/>
        <v>0</v>
      </c>
      <c r="L36" s="126">
        <f t="shared" si="2"/>
        <v>200000</v>
      </c>
      <c r="N36" s="14"/>
      <c r="O36" s="15"/>
      <c r="P36" s="20"/>
      <c r="Q36" s="17"/>
      <c r="R36" s="20"/>
      <c r="S36" s="16"/>
      <c r="T36" s="18"/>
      <c r="U36" s="13"/>
    </row>
    <row r="37" spans="1:21">
      <c r="A37" s="117"/>
      <c r="B37" s="118">
        <v>1.4</v>
      </c>
      <c r="C37" s="127"/>
      <c r="D37" s="128" t="s">
        <v>172</v>
      </c>
      <c r="E37" s="121">
        <v>1</v>
      </c>
      <c r="F37" s="121">
        <v>1</v>
      </c>
      <c r="G37" s="122" t="s">
        <v>171</v>
      </c>
      <c r="H37" s="123">
        <v>0</v>
      </c>
      <c r="I37" s="124">
        <f t="shared" si="0"/>
        <v>0</v>
      </c>
      <c r="J37" s="123">
        <v>0</v>
      </c>
      <c r="K37" s="125">
        <f t="shared" si="1"/>
        <v>0</v>
      </c>
      <c r="L37" s="126">
        <f t="shared" si="2"/>
        <v>0</v>
      </c>
      <c r="N37" s="14"/>
      <c r="O37" s="15"/>
      <c r="P37" s="20"/>
      <c r="Q37" s="17"/>
      <c r="R37" s="20"/>
      <c r="S37" s="16"/>
      <c r="T37" s="18"/>
      <c r="U37" s="13"/>
    </row>
    <row r="38" spans="1:21">
      <c r="A38" s="136"/>
      <c r="B38" s="137"/>
      <c r="C38" s="138"/>
      <c r="D38" s="139"/>
      <c r="E38" s="140"/>
      <c r="F38" s="140"/>
      <c r="G38" s="141"/>
      <c r="H38" s="142"/>
      <c r="I38" s="143"/>
      <c r="J38" s="144"/>
      <c r="K38" s="145"/>
      <c r="L38" s="146"/>
      <c r="N38" s="233"/>
      <c r="O38" s="7"/>
      <c r="P38" s="2"/>
      <c r="Q38" s="8"/>
      <c r="R38" s="147"/>
      <c r="S38" s="2"/>
      <c r="T38" s="9"/>
      <c r="U38" s="13"/>
    </row>
    <row r="39" spans="1:21">
      <c r="A39" s="136"/>
      <c r="B39" s="137"/>
      <c r="C39" s="138"/>
      <c r="D39" s="137" t="s">
        <v>13</v>
      </c>
      <c r="E39" s="140"/>
      <c r="F39" s="140"/>
      <c r="G39" s="141"/>
      <c r="H39" s="142"/>
      <c r="I39" s="143">
        <f>I10</f>
        <v>3136240</v>
      </c>
      <c r="J39" s="144"/>
      <c r="K39" s="145">
        <f>K10</f>
        <v>1484127</v>
      </c>
      <c r="L39" s="146">
        <f>L10</f>
        <v>4620367</v>
      </c>
      <c r="N39" s="233"/>
      <c r="O39" s="7"/>
      <c r="P39" s="2"/>
      <c r="Q39" s="8"/>
      <c r="R39" s="147"/>
      <c r="S39" s="2"/>
      <c r="T39" s="9"/>
      <c r="U39" s="13"/>
    </row>
    <row r="40" spans="1:21">
      <c r="A40" s="136"/>
      <c r="B40" s="137"/>
      <c r="C40" s="138"/>
      <c r="D40" s="148" t="s">
        <v>1445</v>
      </c>
      <c r="E40" s="140"/>
      <c r="F40" s="140"/>
      <c r="G40" s="141"/>
      <c r="H40" s="142"/>
      <c r="I40" s="143"/>
      <c r="J40" s="144"/>
      <c r="K40" s="145"/>
      <c r="L40" s="146">
        <f>L39*10%</f>
        <v>462036.7</v>
      </c>
      <c r="N40" s="233"/>
      <c r="O40" s="7"/>
      <c r="P40" s="2"/>
      <c r="Q40" s="8"/>
      <c r="R40" s="147"/>
      <c r="S40" s="2"/>
      <c r="T40" s="9"/>
      <c r="U40" s="13"/>
    </row>
    <row r="41" spans="1:21" ht="22.5" thickBot="1">
      <c r="A41" s="1673" t="s">
        <v>1446</v>
      </c>
      <c r="B41" s="1674"/>
      <c r="C41" s="1674"/>
      <c r="D41" s="1674"/>
      <c r="E41" s="1674"/>
      <c r="F41" s="1674"/>
      <c r="G41" s="1675"/>
      <c r="H41" s="149"/>
      <c r="I41" s="149"/>
      <c r="J41" s="149"/>
      <c r="K41" s="149"/>
      <c r="L41" s="150">
        <f>L39+L40</f>
        <v>5082403.7</v>
      </c>
      <c r="N41" s="234"/>
      <c r="O41" s="13"/>
      <c r="P41" s="13"/>
      <c r="Q41" s="18"/>
      <c r="R41" s="18"/>
      <c r="S41" s="18"/>
      <c r="T41" s="18"/>
      <c r="U41" s="13"/>
    </row>
    <row r="42" spans="1:21">
      <c r="N42" s="234"/>
      <c r="O42" s="13"/>
      <c r="P42" s="13"/>
      <c r="Q42" s="13"/>
      <c r="R42" s="13"/>
      <c r="S42" s="13"/>
      <c r="T42" s="13"/>
      <c r="U42" s="13"/>
    </row>
    <row r="43" spans="1:21">
      <c r="N43" s="234"/>
      <c r="O43" s="13"/>
      <c r="P43" s="13"/>
      <c r="Q43" s="13"/>
      <c r="R43" s="13"/>
      <c r="S43" s="13"/>
      <c r="T43" s="13"/>
      <c r="U43" s="13"/>
    </row>
    <row r="46" spans="1:21">
      <c r="K46" s="12" t="s">
        <v>502</v>
      </c>
    </row>
  </sheetData>
  <mergeCells count="18">
    <mergeCell ref="T7:T8"/>
    <mergeCell ref="A41:G41"/>
    <mergeCell ref="J7:K7"/>
    <mergeCell ref="L7:L8"/>
    <mergeCell ref="N7:N9"/>
    <mergeCell ref="O7:O9"/>
    <mergeCell ref="P7:Q7"/>
    <mergeCell ref="R7:S7"/>
    <mergeCell ref="A7:A9"/>
    <mergeCell ref="B7:D9"/>
    <mergeCell ref="E7:E9"/>
    <mergeCell ref="G7:G9"/>
    <mergeCell ref="H7:I7"/>
    <mergeCell ref="A1:L1"/>
    <mergeCell ref="A2:L2"/>
    <mergeCell ref="A3:L3"/>
    <mergeCell ref="T4:T5"/>
    <mergeCell ref="N6:T6"/>
  </mergeCells>
  <pageMargins left="0.2" right="0.2" top="0.5" bottom="0.5" header="0.3" footer="0.3"/>
  <pageSetup paperSize="8" scale="81" fitToHeight="0" orientation="landscape" r:id="rId1"/>
  <colBreaks count="1" manualBreakCount="1">
    <brk id="12" max="269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7"/>
  <sheetViews>
    <sheetView topLeftCell="E2" zoomScaleNormal="100" zoomScaleSheetLayoutView="85" workbookViewId="0">
      <selection activeCell="E44" sqref="E44"/>
    </sheetView>
  </sheetViews>
  <sheetFormatPr defaultColWidth="9.140625" defaultRowHeight="21.75"/>
  <cols>
    <col min="1" max="1" width="6.42578125" style="12" customWidth="1"/>
    <col min="2" max="2" width="5.140625" style="12" customWidth="1"/>
    <col min="3" max="3" width="8" style="28" customWidth="1"/>
    <col min="4" max="4" width="82.5703125" style="12" customWidth="1"/>
    <col min="5" max="5" width="10.7109375" style="12" customWidth="1"/>
    <col min="6" max="6" width="7.42578125" style="12" customWidth="1"/>
    <col min="7" max="10" width="15.28515625" style="12" customWidth="1"/>
    <col min="11" max="11" width="19" style="29" customWidth="1"/>
    <col min="12" max="12" width="9.7109375" style="12" customWidth="1"/>
    <col min="13" max="13" width="9.85546875" style="12" customWidth="1"/>
    <col min="14" max="14" width="9.140625" style="12" customWidth="1"/>
    <col min="15" max="15" width="12.140625" style="12" customWidth="1"/>
    <col min="16" max="16" width="14.140625" style="12" customWidth="1"/>
    <col min="17" max="17" width="15.28515625" style="12" customWidth="1"/>
    <col min="18" max="20" width="14.140625" style="12" customWidth="1"/>
    <col min="21" max="16384" width="9.140625" style="12"/>
  </cols>
  <sheetData>
    <row r="1" spans="1:22" s="10" customFormat="1" ht="39" hidden="1" thickBot="1">
      <c r="A1" s="1660" t="s">
        <v>0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2"/>
    </row>
    <row r="2" spans="1:22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5"/>
      <c r="M2" s="11"/>
      <c r="N2" s="11"/>
      <c r="O2" s="11"/>
      <c r="P2" s="11"/>
      <c r="Q2" s="11"/>
      <c r="R2" s="11"/>
      <c r="S2" s="11"/>
      <c r="T2" s="11"/>
      <c r="U2" s="11"/>
    </row>
    <row r="3" spans="1:22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8"/>
      <c r="M3" s="11"/>
      <c r="N3" s="11"/>
      <c r="O3" s="11"/>
      <c r="P3" s="11"/>
      <c r="Q3" s="11"/>
      <c r="R3" s="11"/>
      <c r="S3" s="11"/>
      <c r="T3" s="11"/>
      <c r="U3" s="11"/>
    </row>
    <row r="4" spans="1:22" s="10" customFormat="1" ht="26.25" customHeight="1">
      <c r="A4" s="38" t="s">
        <v>1</v>
      </c>
      <c r="B4" s="39"/>
      <c r="C4" s="40"/>
      <c r="D4" s="39" t="s">
        <v>1443</v>
      </c>
      <c r="E4" s="41"/>
      <c r="F4" s="42"/>
      <c r="G4" s="42"/>
      <c r="H4" s="41"/>
      <c r="I4" s="43" t="s">
        <v>108</v>
      </c>
      <c r="J4" s="44" t="s">
        <v>1447</v>
      </c>
      <c r="K4" s="45"/>
      <c r="M4" s="11"/>
      <c r="N4" s="11"/>
      <c r="O4" s="11"/>
      <c r="P4" s="11"/>
      <c r="Q4" s="42"/>
      <c r="R4" s="11"/>
      <c r="S4" s="11"/>
      <c r="T4" s="1669"/>
      <c r="U4" s="11"/>
    </row>
    <row r="5" spans="1:22" s="10" customFormat="1" ht="27" customHeight="1">
      <c r="A5" s="46" t="s">
        <v>109</v>
      </c>
      <c r="B5" s="47"/>
      <c r="C5" s="48"/>
      <c r="D5" s="47" t="s">
        <v>110</v>
      </c>
      <c r="E5" s="49"/>
      <c r="F5" s="50"/>
      <c r="G5" s="50"/>
      <c r="H5" s="49"/>
      <c r="I5" s="43" t="s">
        <v>111</v>
      </c>
      <c r="J5" s="44"/>
      <c r="K5" s="45"/>
      <c r="M5" s="11"/>
      <c r="N5" s="11"/>
      <c r="O5" s="11"/>
      <c r="P5" s="11"/>
      <c r="Q5" s="50"/>
      <c r="R5" s="11"/>
      <c r="S5" s="11"/>
      <c r="T5" s="1669"/>
      <c r="U5" s="11"/>
    </row>
    <row r="6" spans="1:22" s="10" customFormat="1" ht="27" thickBot="1">
      <c r="A6" s="51" t="s">
        <v>3</v>
      </c>
      <c r="B6" s="52"/>
      <c r="C6" s="53"/>
      <c r="D6" s="52" t="s">
        <v>112</v>
      </c>
      <c r="E6" s="54"/>
      <c r="F6" s="55"/>
      <c r="G6" s="55"/>
      <c r="H6" s="54"/>
      <c r="I6" s="56" t="s">
        <v>113</v>
      </c>
      <c r="J6" s="57"/>
      <c r="K6" s="58"/>
      <c r="M6" s="1670"/>
      <c r="N6" s="1670"/>
      <c r="O6" s="1670"/>
      <c r="P6" s="1670"/>
      <c r="Q6" s="1670"/>
      <c r="R6" s="1670"/>
      <c r="S6" s="1670"/>
      <c r="T6" s="1670"/>
      <c r="U6" s="11"/>
    </row>
    <row r="7" spans="1:22" s="28" customFormat="1">
      <c r="A7" s="1826" t="s">
        <v>6</v>
      </c>
      <c r="B7" s="1828" t="s">
        <v>7</v>
      </c>
      <c r="C7" s="1685"/>
      <c r="D7" s="1829"/>
      <c r="E7" s="1833" t="s">
        <v>8</v>
      </c>
      <c r="F7" s="1835" t="s">
        <v>9</v>
      </c>
      <c r="G7" s="1820" t="s">
        <v>10</v>
      </c>
      <c r="H7" s="1821"/>
      <c r="I7" s="1820" t="s">
        <v>11</v>
      </c>
      <c r="J7" s="1821"/>
      <c r="K7" s="1837" t="s">
        <v>13</v>
      </c>
      <c r="M7" s="1822"/>
      <c r="N7" s="1685"/>
      <c r="O7" s="1671"/>
      <c r="P7" s="1671"/>
      <c r="Q7" s="3"/>
      <c r="R7" s="1671"/>
      <c r="S7" s="1671"/>
      <c r="T7" s="1672"/>
      <c r="U7" s="15"/>
    </row>
    <row r="8" spans="1:22" s="28" customFormat="1">
      <c r="A8" s="1826"/>
      <c r="B8" s="1828"/>
      <c r="C8" s="1685"/>
      <c r="D8" s="1829"/>
      <c r="E8" s="1833"/>
      <c r="F8" s="1835"/>
      <c r="G8" s="59" t="s">
        <v>9</v>
      </c>
      <c r="H8" s="60" t="s">
        <v>13</v>
      </c>
      <c r="I8" s="59" t="s">
        <v>9</v>
      </c>
      <c r="J8" s="60" t="s">
        <v>13</v>
      </c>
      <c r="K8" s="1837"/>
      <c r="M8" s="1822"/>
      <c r="N8" s="1685"/>
      <c r="O8" s="1"/>
      <c r="P8" s="3"/>
      <c r="Q8" s="59" t="s">
        <v>9</v>
      </c>
      <c r="R8" s="3" t="s">
        <v>114</v>
      </c>
      <c r="S8" s="3"/>
      <c r="T8" s="1672"/>
      <c r="U8" s="15"/>
    </row>
    <row r="9" spans="1:22" s="28" customFormat="1">
      <c r="A9" s="1827"/>
      <c r="B9" s="1830"/>
      <c r="C9" s="1831"/>
      <c r="D9" s="1832"/>
      <c r="E9" s="1834"/>
      <c r="F9" s="1836"/>
      <c r="G9" s="61" t="s">
        <v>115</v>
      </c>
      <c r="H9" s="62" t="s">
        <v>14</v>
      </c>
      <c r="I9" s="61" t="s">
        <v>115</v>
      </c>
      <c r="J9" s="62" t="s">
        <v>14</v>
      </c>
      <c r="K9" s="63" t="s">
        <v>14</v>
      </c>
      <c r="M9" s="1822"/>
      <c r="N9" s="1685"/>
      <c r="O9" s="1"/>
      <c r="P9" s="3"/>
      <c r="Q9" s="61" t="s">
        <v>115</v>
      </c>
      <c r="R9" s="3">
        <v>40</v>
      </c>
      <c r="S9" s="3" t="s">
        <v>116</v>
      </c>
      <c r="T9" s="3"/>
      <c r="U9" s="15"/>
    </row>
    <row r="10" spans="1:22">
      <c r="A10" s="80">
        <v>2</v>
      </c>
      <c r="B10" s="81"/>
      <c r="C10" s="82"/>
      <c r="D10" s="83" t="s">
        <v>173</v>
      </c>
      <c r="E10" s="84"/>
      <c r="F10" s="85"/>
      <c r="G10" s="86"/>
      <c r="H10" s="86">
        <f>SUM(H11:H68)</f>
        <v>3313539.6</v>
      </c>
      <c r="I10" s="86"/>
      <c r="J10" s="86">
        <f>SUM(J11:J68)</f>
        <v>1432900</v>
      </c>
      <c r="K10" s="87">
        <f>SUM(K11:K68)</f>
        <v>4746439.6000000006</v>
      </c>
      <c r="M10" s="14"/>
      <c r="N10" s="15"/>
      <c r="O10" s="16"/>
      <c r="P10" s="16"/>
      <c r="Q10" s="36">
        <v>0</v>
      </c>
      <c r="R10" s="16"/>
      <c r="S10" s="16"/>
      <c r="T10" s="16"/>
      <c r="U10" s="13"/>
      <c r="V10" s="21"/>
    </row>
    <row r="11" spans="1:22">
      <c r="A11" s="32"/>
      <c r="B11" s="31">
        <v>2.1</v>
      </c>
      <c r="C11" s="33"/>
      <c r="D11" s="27" t="s">
        <v>174</v>
      </c>
      <c r="E11" s="30"/>
      <c r="F11" s="22"/>
      <c r="G11" s="23"/>
      <c r="H11" s="35"/>
      <c r="I11" s="23"/>
      <c r="J11" s="36"/>
      <c r="K11" s="37"/>
      <c r="M11" s="19"/>
      <c r="N11" s="15"/>
      <c r="O11" s="20"/>
      <c r="P11" s="17"/>
      <c r="Q11" s="23"/>
      <c r="R11" s="20"/>
      <c r="S11" s="16"/>
      <c r="T11" s="18"/>
      <c r="U11" s="13"/>
    </row>
    <row r="12" spans="1:22">
      <c r="A12" s="32"/>
      <c r="B12" s="31"/>
      <c r="C12" s="33" t="s">
        <v>175</v>
      </c>
      <c r="D12" s="27" t="s">
        <v>176</v>
      </c>
      <c r="E12" s="30">
        <v>1410</v>
      </c>
      <c r="F12" s="22" t="s">
        <v>121</v>
      </c>
      <c r="G12" s="35">
        <f>R12</f>
        <v>224</v>
      </c>
      <c r="H12" s="35">
        <f>E12*G12</f>
        <v>315840</v>
      </c>
      <c r="I12" s="35">
        <v>120</v>
      </c>
      <c r="J12" s="36">
        <f>E12*I12</f>
        <v>169200</v>
      </c>
      <c r="K12" s="238">
        <f>H12+J12</f>
        <v>485040</v>
      </c>
      <c r="M12" s="19"/>
      <c r="N12" s="15"/>
      <c r="O12" s="20"/>
      <c r="P12" s="17"/>
      <c r="Q12" s="23">
        <v>160</v>
      </c>
      <c r="R12" s="20">
        <f>Q12*1.4</f>
        <v>224</v>
      </c>
      <c r="S12" s="16"/>
      <c r="T12" s="18"/>
      <c r="U12" s="13"/>
    </row>
    <row r="13" spans="1:22">
      <c r="A13" s="32"/>
      <c r="B13" s="31"/>
      <c r="C13" s="33" t="s">
        <v>177</v>
      </c>
      <c r="D13" s="34" t="s">
        <v>1448</v>
      </c>
      <c r="E13" s="30">
        <v>2820</v>
      </c>
      <c r="F13" s="22" t="s">
        <v>121</v>
      </c>
      <c r="G13" s="35">
        <f t="shared" ref="G13:G68" si="0">R13</f>
        <v>168</v>
      </c>
      <c r="H13" s="35">
        <f t="shared" ref="H13:H68" si="1">E13*G13</f>
        <v>473760</v>
      </c>
      <c r="I13" s="35">
        <v>90</v>
      </c>
      <c r="J13" s="36">
        <f t="shared" ref="J13:J68" si="2">E13*I13</f>
        <v>253800</v>
      </c>
      <c r="K13" s="238">
        <f t="shared" ref="K13:K68" si="3">H13+J13</f>
        <v>727560</v>
      </c>
      <c r="M13" s="19"/>
      <c r="N13" s="15"/>
      <c r="O13" s="20"/>
      <c r="P13" s="17"/>
      <c r="Q13" s="23">
        <v>120</v>
      </c>
      <c r="R13" s="20">
        <f t="shared" ref="R13:R68" si="4">Q13*1.4</f>
        <v>168</v>
      </c>
      <c r="S13" s="16"/>
      <c r="T13" s="18"/>
      <c r="U13" s="13"/>
      <c r="V13" s="24"/>
    </row>
    <row r="14" spans="1:22">
      <c r="A14" s="32"/>
      <c r="B14" s="31"/>
      <c r="C14" s="33" t="s">
        <v>179</v>
      </c>
      <c r="D14" s="34" t="s">
        <v>1449</v>
      </c>
      <c r="E14" s="30">
        <v>205</v>
      </c>
      <c r="F14" s="22" t="s">
        <v>121</v>
      </c>
      <c r="G14" s="35">
        <f t="shared" si="0"/>
        <v>364</v>
      </c>
      <c r="H14" s="35">
        <f t="shared" si="1"/>
        <v>74620</v>
      </c>
      <c r="I14" s="35">
        <v>170</v>
      </c>
      <c r="J14" s="36">
        <f t="shared" si="2"/>
        <v>34850</v>
      </c>
      <c r="K14" s="238">
        <f t="shared" si="3"/>
        <v>109470</v>
      </c>
      <c r="M14" s="19"/>
      <c r="N14" s="15"/>
      <c r="O14" s="20"/>
      <c r="P14" s="17"/>
      <c r="Q14" s="23">
        <v>260</v>
      </c>
      <c r="R14" s="20">
        <f t="shared" si="4"/>
        <v>364</v>
      </c>
      <c r="S14" s="16"/>
      <c r="T14" s="18"/>
      <c r="U14" s="13"/>
    </row>
    <row r="15" spans="1:22">
      <c r="A15" s="32"/>
      <c r="B15" s="31"/>
      <c r="C15" s="33" t="s">
        <v>181</v>
      </c>
      <c r="D15" s="34" t="s">
        <v>182</v>
      </c>
      <c r="E15" s="30">
        <v>8</v>
      </c>
      <c r="F15" s="22" t="s">
        <v>121</v>
      </c>
      <c r="G15" s="35">
        <f t="shared" si="0"/>
        <v>518</v>
      </c>
      <c r="H15" s="35">
        <f t="shared" si="1"/>
        <v>4144</v>
      </c>
      <c r="I15" s="35">
        <v>280</v>
      </c>
      <c r="J15" s="36">
        <f t="shared" si="2"/>
        <v>2240</v>
      </c>
      <c r="K15" s="238">
        <f t="shared" si="3"/>
        <v>6384</v>
      </c>
      <c r="M15" s="19"/>
      <c r="N15" s="15"/>
      <c r="O15" s="20"/>
      <c r="P15" s="17"/>
      <c r="Q15" s="23">
        <v>370</v>
      </c>
      <c r="R15" s="20">
        <f t="shared" si="4"/>
        <v>518</v>
      </c>
      <c r="S15" s="16"/>
      <c r="T15" s="18"/>
      <c r="U15" s="13"/>
    </row>
    <row r="16" spans="1:22">
      <c r="A16" s="32"/>
      <c r="B16" s="31"/>
      <c r="C16" s="33" t="s">
        <v>183</v>
      </c>
      <c r="D16" s="34" t="s">
        <v>1450</v>
      </c>
      <c r="E16" s="30">
        <v>660</v>
      </c>
      <c r="F16" s="22" t="s">
        <v>185</v>
      </c>
      <c r="G16" s="35">
        <f t="shared" si="0"/>
        <v>125.99999999999999</v>
      </c>
      <c r="H16" s="35">
        <f t="shared" si="1"/>
        <v>83159.999999999985</v>
      </c>
      <c r="I16" s="35">
        <v>70</v>
      </c>
      <c r="J16" s="36">
        <f t="shared" si="2"/>
        <v>46200</v>
      </c>
      <c r="K16" s="238">
        <f t="shared" si="3"/>
        <v>129359.99999999999</v>
      </c>
      <c r="M16" s="19"/>
      <c r="N16" s="15"/>
      <c r="O16" s="20"/>
      <c r="P16" s="17"/>
      <c r="Q16" s="23">
        <v>90</v>
      </c>
      <c r="R16" s="20">
        <f t="shared" si="4"/>
        <v>125.99999999999999</v>
      </c>
      <c r="S16" s="16"/>
      <c r="T16" s="18"/>
      <c r="U16" s="13"/>
    </row>
    <row r="17" spans="1:21">
      <c r="A17" s="32"/>
      <c r="B17" s="31">
        <v>2.2000000000000002</v>
      </c>
      <c r="C17" s="33"/>
      <c r="D17" s="34" t="s">
        <v>186</v>
      </c>
      <c r="E17" s="30"/>
      <c r="F17" s="22"/>
      <c r="G17" s="35"/>
      <c r="H17" s="35"/>
      <c r="I17" s="35"/>
      <c r="J17" s="36"/>
      <c r="K17" s="238"/>
      <c r="M17" s="19"/>
      <c r="N17" s="15"/>
      <c r="O17" s="20"/>
      <c r="P17" s="17"/>
      <c r="Q17" s="23"/>
      <c r="R17" s="20">
        <f t="shared" si="4"/>
        <v>0</v>
      </c>
      <c r="S17" s="16"/>
      <c r="T17" s="18"/>
      <c r="U17" s="13"/>
    </row>
    <row r="18" spans="1:21">
      <c r="A18" s="32"/>
      <c r="B18" s="31"/>
      <c r="C18" s="33" t="s">
        <v>187</v>
      </c>
      <c r="D18" s="34" t="s">
        <v>1451</v>
      </c>
      <c r="E18" s="30">
        <v>588</v>
      </c>
      <c r="F18" s="22" t="s">
        <v>121</v>
      </c>
      <c r="G18" s="35">
        <f t="shared" si="0"/>
        <v>441</v>
      </c>
      <c r="H18" s="35">
        <f t="shared" si="1"/>
        <v>259308</v>
      </c>
      <c r="I18" s="35">
        <v>160</v>
      </c>
      <c r="J18" s="36">
        <f t="shared" si="2"/>
        <v>94080</v>
      </c>
      <c r="K18" s="238">
        <f t="shared" si="3"/>
        <v>353388</v>
      </c>
      <c r="M18" s="19"/>
      <c r="N18" s="15"/>
      <c r="O18" s="20"/>
      <c r="P18" s="17"/>
      <c r="Q18" s="23">
        <v>315</v>
      </c>
      <c r="R18" s="20">
        <f t="shared" si="4"/>
        <v>441</v>
      </c>
      <c r="S18" s="16"/>
      <c r="T18" s="18"/>
      <c r="U18" s="13"/>
    </row>
    <row r="19" spans="1:21">
      <c r="A19" s="32"/>
      <c r="B19" s="31"/>
      <c r="C19" s="33" t="s">
        <v>189</v>
      </c>
      <c r="D19" s="34" t="s">
        <v>1452</v>
      </c>
      <c r="E19" s="30">
        <v>75</v>
      </c>
      <c r="F19" s="22" t="s">
        <v>121</v>
      </c>
      <c r="G19" s="35">
        <f t="shared" si="0"/>
        <v>422.79999999999995</v>
      </c>
      <c r="H19" s="35">
        <f t="shared" si="1"/>
        <v>31709.999999999996</v>
      </c>
      <c r="I19" s="35">
        <v>160</v>
      </c>
      <c r="J19" s="36">
        <f t="shared" si="2"/>
        <v>12000</v>
      </c>
      <c r="K19" s="238">
        <f t="shared" si="3"/>
        <v>43710</v>
      </c>
      <c r="M19" s="19"/>
      <c r="N19" s="15"/>
      <c r="O19" s="20"/>
      <c r="P19" s="17"/>
      <c r="Q19" s="23">
        <v>302</v>
      </c>
      <c r="R19" s="20">
        <f t="shared" si="4"/>
        <v>422.79999999999995</v>
      </c>
      <c r="S19" s="16"/>
      <c r="T19" s="18"/>
      <c r="U19" s="13"/>
    </row>
    <row r="20" spans="1:21">
      <c r="A20" s="32"/>
      <c r="B20" s="31"/>
      <c r="C20" s="33" t="s">
        <v>191</v>
      </c>
      <c r="D20" s="34" t="s">
        <v>192</v>
      </c>
      <c r="E20" s="30">
        <v>55</v>
      </c>
      <c r="F20" s="22" t="s">
        <v>121</v>
      </c>
      <c r="G20" s="35">
        <f t="shared" si="0"/>
        <v>133</v>
      </c>
      <c r="H20" s="35">
        <f t="shared" si="1"/>
        <v>7315</v>
      </c>
      <c r="I20" s="35">
        <v>90</v>
      </c>
      <c r="J20" s="36">
        <f t="shared" si="2"/>
        <v>4950</v>
      </c>
      <c r="K20" s="238">
        <f t="shared" si="3"/>
        <v>12265</v>
      </c>
      <c r="M20" s="19"/>
      <c r="N20" s="15"/>
      <c r="O20" s="20"/>
      <c r="P20" s="17"/>
      <c r="Q20" s="23">
        <v>95</v>
      </c>
      <c r="R20" s="20">
        <f t="shared" si="4"/>
        <v>133</v>
      </c>
      <c r="S20" s="16"/>
      <c r="T20" s="18"/>
      <c r="U20" s="13"/>
    </row>
    <row r="21" spans="1:21">
      <c r="A21" s="32"/>
      <c r="B21" s="31"/>
      <c r="C21" s="33" t="s">
        <v>193</v>
      </c>
      <c r="D21" s="34" t="s">
        <v>194</v>
      </c>
      <c r="E21" s="30">
        <v>215</v>
      </c>
      <c r="F21" s="22" t="s">
        <v>121</v>
      </c>
      <c r="G21" s="35">
        <f t="shared" si="0"/>
        <v>133</v>
      </c>
      <c r="H21" s="35">
        <f t="shared" si="1"/>
        <v>28595</v>
      </c>
      <c r="I21" s="35">
        <v>90</v>
      </c>
      <c r="J21" s="36">
        <f t="shared" si="2"/>
        <v>19350</v>
      </c>
      <c r="K21" s="238">
        <f t="shared" si="3"/>
        <v>47945</v>
      </c>
      <c r="M21" s="19"/>
      <c r="N21" s="15"/>
      <c r="O21" s="20"/>
      <c r="P21" s="17"/>
      <c r="Q21" s="23">
        <v>95</v>
      </c>
      <c r="R21" s="20">
        <f t="shared" si="4"/>
        <v>133</v>
      </c>
      <c r="S21" s="16"/>
      <c r="T21" s="18"/>
      <c r="U21" s="13"/>
    </row>
    <row r="22" spans="1:21">
      <c r="A22" s="32"/>
      <c r="B22" s="31">
        <v>2.2999999999999998</v>
      </c>
      <c r="C22" s="33"/>
      <c r="D22" s="34" t="s">
        <v>195</v>
      </c>
      <c r="E22" s="30"/>
      <c r="F22" s="22"/>
      <c r="G22" s="35"/>
      <c r="H22" s="35"/>
      <c r="I22" s="35"/>
      <c r="J22" s="36"/>
      <c r="K22" s="238"/>
      <c r="M22" s="19"/>
      <c r="N22" s="15"/>
      <c r="O22" s="20"/>
      <c r="P22" s="17"/>
      <c r="Q22" s="23"/>
      <c r="R22" s="20">
        <f t="shared" si="4"/>
        <v>0</v>
      </c>
      <c r="S22" s="16"/>
      <c r="T22" s="18"/>
      <c r="U22" s="13"/>
    </row>
    <row r="23" spans="1:21">
      <c r="A23" s="32"/>
      <c r="B23" s="31"/>
      <c r="C23" s="33" t="s">
        <v>196</v>
      </c>
      <c r="D23" s="34" t="s">
        <v>1453</v>
      </c>
      <c r="E23" s="30">
        <v>430</v>
      </c>
      <c r="F23" s="22" t="s">
        <v>121</v>
      </c>
      <c r="G23" s="35">
        <f t="shared" si="0"/>
        <v>489.99999999999994</v>
      </c>
      <c r="H23" s="35">
        <f t="shared" si="1"/>
        <v>210699.99999999997</v>
      </c>
      <c r="I23" s="35">
        <v>180</v>
      </c>
      <c r="J23" s="36">
        <f t="shared" si="2"/>
        <v>77400</v>
      </c>
      <c r="K23" s="238">
        <f t="shared" si="3"/>
        <v>288100</v>
      </c>
      <c r="M23" s="19"/>
      <c r="N23" s="15"/>
      <c r="O23" s="20"/>
      <c r="P23" s="17"/>
      <c r="Q23" s="23">
        <v>350</v>
      </c>
      <c r="R23" s="20">
        <f t="shared" si="4"/>
        <v>489.99999999999994</v>
      </c>
      <c r="S23" s="16"/>
      <c r="T23" s="18"/>
      <c r="U23" s="13"/>
    </row>
    <row r="24" spans="1:21">
      <c r="A24" s="32"/>
      <c r="B24" s="31"/>
      <c r="C24" s="33" t="s">
        <v>198</v>
      </c>
      <c r="D24" s="34" t="s">
        <v>1454</v>
      </c>
      <c r="E24" s="30">
        <v>71</v>
      </c>
      <c r="F24" s="22" t="s">
        <v>121</v>
      </c>
      <c r="G24" s="35">
        <f t="shared" si="0"/>
        <v>518</v>
      </c>
      <c r="H24" s="35">
        <f t="shared" si="1"/>
        <v>36778</v>
      </c>
      <c r="I24" s="35">
        <v>180</v>
      </c>
      <c r="J24" s="36">
        <f t="shared" si="2"/>
        <v>12780</v>
      </c>
      <c r="K24" s="238">
        <f t="shared" si="3"/>
        <v>49558</v>
      </c>
      <c r="M24" s="19"/>
      <c r="N24" s="15"/>
      <c r="O24" s="20"/>
      <c r="P24" s="17"/>
      <c r="Q24" s="23">
        <v>370</v>
      </c>
      <c r="R24" s="20">
        <f t="shared" si="4"/>
        <v>518</v>
      </c>
      <c r="S24" s="16"/>
      <c r="T24" s="18"/>
      <c r="U24" s="13"/>
    </row>
    <row r="25" spans="1:21">
      <c r="A25" s="32"/>
      <c r="B25" s="31"/>
      <c r="C25" s="33" t="s">
        <v>200</v>
      </c>
      <c r="D25" s="34" t="s">
        <v>201</v>
      </c>
      <c r="E25" s="30">
        <v>145</v>
      </c>
      <c r="F25" s="22" t="s">
        <v>121</v>
      </c>
      <c r="G25" s="35">
        <f t="shared" si="0"/>
        <v>489.99999999999994</v>
      </c>
      <c r="H25" s="35">
        <f t="shared" si="1"/>
        <v>71049.999999999985</v>
      </c>
      <c r="I25" s="35">
        <v>180</v>
      </c>
      <c r="J25" s="36">
        <f t="shared" si="2"/>
        <v>26100</v>
      </c>
      <c r="K25" s="238">
        <f t="shared" si="3"/>
        <v>97149.999999999985</v>
      </c>
      <c r="M25" s="19"/>
      <c r="N25" s="15"/>
      <c r="O25" s="20"/>
      <c r="P25" s="17"/>
      <c r="Q25" s="23">
        <v>350</v>
      </c>
      <c r="R25" s="20">
        <f t="shared" si="4"/>
        <v>489.99999999999994</v>
      </c>
      <c r="S25" s="16"/>
      <c r="T25" s="18"/>
      <c r="U25" s="13"/>
    </row>
    <row r="26" spans="1:21">
      <c r="A26" s="32"/>
      <c r="B26" s="31"/>
      <c r="C26" s="33" t="s">
        <v>202</v>
      </c>
      <c r="D26" s="34" t="s">
        <v>1455</v>
      </c>
      <c r="E26" s="30">
        <v>45</v>
      </c>
      <c r="F26" s="22" t="s">
        <v>121</v>
      </c>
      <c r="G26" s="35">
        <f t="shared" si="0"/>
        <v>399</v>
      </c>
      <c r="H26" s="35">
        <f t="shared" si="1"/>
        <v>17955</v>
      </c>
      <c r="I26" s="35">
        <v>220</v>
      </c>
      <c r="J26" s="36">
        <f t="shared" si="2"/>
        <v>9900</v>
      </c>
      <c r="K26" s="238">
        <f t="shared" si="3"/>
        <v>27855</v>
      </c>
      <c r="M26" s="19"/>
      <c r="N26" s="15"/>
      <c r="O26" s="20"/>
      <c r="P26" s="17"/>
      <c r="Q26" s="23">
        <v>285</v>
      </c>
      <c r="R26" s="20">
        <f t="shared" si="4"/>
        <v>399</v>
      </c>
      <c r="S26" s="16"/>
      <c r="T26" s="18"/>
      <c r="U26" s="13"/>
    </row>
    <row r="27" spans="1:21">
      <c r="A27" s="32"/>
      <c r="B27" s="31"/>
      <c r="C27" s="33" t="s">
        <v>204</v>
      </c>
      <c r="D27" s="34" t="s">
        <v>1456</v>
      </c>
      <c r="E27" s="30">
        <v>250</v>
      </c>
      <c r="F27" s="22" t="s">
        <v>121</v>
      </c>
      <c r="G27" s="35">
        <f t="shared" si="0"/>
        <v>420</v>
      </c>
      <c r="H27" s="35">
        <f t="shared" si="1"/>
        <v>105000</v>
      </c>
      <c r="I27" s="35">
        <v>275</v>
      </c>
      <c r="J27" s="36">
        <f t="shared" si="2"/>
        <v>68750</v>
      </c>
      <c r="K27" s="238">
        <f t="shared" si="3"/>
        <v>173750</v>
      </c>
      <c r="M27" s="19"/>
      <c r="N27" s="15"/>
      <c r="O27" s="20"/>
      <c r="P27" s="17"/>
      <c r="Q27" s="23">
        <v>300</v>
      </c>
      <c r="R27" s="20">
        <f t="shared" si="4"/>
        <v>420</v>
      </c>
      <c r="S27" s="16"/>
      <c r="T27" s="18"/>
      <c r="U27" s="13"/>
    </row>
    <row r="28" spans="1:21">
      <c r="A28" s="32"/>
      <c r="B28" s="31">
        <v>2.4</v>
      </c>
      <c r="C28" s="33"/>
      <c r="D28" s="34" t="s">
        <v>206</v>
      </c>
      <c r="E28" s="30"/>
      <c r="F28" s="64"/>
      <c r="G28" s="35"/>
      <c r="H28" s="35"/>
      <c r="I28" s="35"/>
      <c r="J28" s="36"/>
      <c r="K28" s="238"/>
      <c r="M28" s="19"/>
      <c r="N28" s="4"/>
      <c r="O28" s="20"/>
      <c r="P28" s="17"/>
      <c r="Q28" s="23"/>
      <c r="R28" s="20">
        <f t="shared" si="4"/>
        <v>0</v>
      </c>
      <c r="S28" s="16"/>
      <c r="T28" s="18"/>
      <c r="U28" s="13"/>
    </row>
    <row r="29" spans="1:21">
      <c r="A29" s="32"/>
      <c r="B29" s="31"/>
      <c r="C29" s="33" t="s">
        <v>207</v>
      </c>
      <c r="D29" s="34" t="s">
        <v>1457</v>
      </c>
      <c r="E29" s="30">
        <v>960</v>
      </c>
      <c r="F29" s="65" t="s">
        <v>97</v>
      </c>
      <c r="G29" s="35">
        <v>0</v>
      </c>
      <c r="H29" s="35">
        <f t="shared" si="1"/>
        <v>0</v>
      </c>
      <c r="I29" s="35">
        <v>280</v>
      </c>
      <c r="J29" s="36">
        <f t="shared" si="2"/>
        <v>268800</v>
      </c>
      <c r="K29" s="238">
        <f t="shared" si="3"/>
        <v>268800</v>
      </c>
      <c r="M29" s="19"/>
      <c r="N29" s="5"/>
      <c r="O29" s="20"/>
      <c r="P29" s="17"/>
      <c r="Q29" s="23">
        <v>0</v>
      </c>
      <c r="R29" s="20">
        <f t="shared" si="4"/>
        <v>0</v>
      </c>
      <c r="S29" s="16"/>
      <c r="T29" s="18"/>
      <c r="U29" s="13"/>
    </row>
    <row r="30" spans="1:21">
      <c r="A30" s="32"/>
      <c r="B30" s="31"/>
      <c r="C30" s="33" t="s">
        <v>209</v>
      </c>
      <c r="D30" s="34" t="s">
        <v>1458</v>
      </c>
      <c r="E30" s="30">
        <v>2176</v>
      </c>
      <c r="F30" s="22" t="s">
        <v>211</v>
      </c>
      <c r="G30" s="35">
        <f t="shared" si="0"/>
        <v>105</v>
      </c>
      <c r="H30" s="35">
        <f t="shared" si="1"/>
        <v>228480</v>
      </c>
      <c r="I30" s="35">
        <v>0</v>
      </c>
      <c r="J30" s="36">
        <f t="shared" si="2"/>
        <v>0</v>
      </c>
      <c r="K30" s="238">
        <f t="shared" si="3"/>
        <v>228480</v>
      </c>
      <c r="M30" s="19"/>
      <c r="N30" s="15"/>
      <c r="O30" s="20"/>
      <c r="P30" s="17"/>
      <c r="Q30" s="23">
        <v>75</v>
      </c>
      <c r="R30" s="20">
        <f t="shared" si="4"/>
        <v>105</v>
      </c>
      <c r="S30" s="16"/>
      <c r="T30" s="18"/>
      <c r="U30" s="13"/>
    </row>
    <row r="31" spans="1:21">
      <c r="A31" s="32"/>
      <c r="B31" s="31"/>
      <c r="C31" s="33" t="s">
        <v>213</v>
      </c>
      <c r="D31" s="34" t="s">
        <v>1459</v>
      </c>
      <c r="E31" s="30">
        <v>145</v>
      </c>
      <c r="F31" s="22" t="s">
        <v>211</v>
      </c>
      <c r="G31" s="35">
        <f t="shared" si="0"/>
        <v>93.8</v>
      </c>
      <c r="H31" s="35">
        <f t="shared" si="1"/>
        <v>13601</v>
      </c>
      <c r="I31" s="35">
        <v>0</v>
      </c>
      <c r="J31" s="36">
        <f t="shared" si="2"/>
        <v>0</v>
      </c>
      <c r="K31" s="238">
        <f t="shared" si="3"/>
        <v>13601</v>
      </c>
      <c r="M31" s="19"/>
      <c r="N31" s="15"/>
      <c r="O31" s="20"/>
      <c r="P31" s="17"/>
      <c r="Q31" s="23">
        <v>67</v>
      </c>
      <c r="R31" s="20">
        <f t="shared" si="4"/>
        <v>93.8</v>
      </c>
      <c r="S31" s="16"/>
      <c r="T31" s="18"/>
      <c r="U31" s="13"/>
    </row>
    <row r="32" spans="1:21">
      <c r="A32" s="32"/>
      <c r="B32" s="31"/>
      <c r="C32" s="33" t="s">
        <v>215</v>
      </c>
      <c r="D32" s="34" t="s">
        <v>1460</v>
      </c>
      <c r="E32" s="30">
        <v>104</v>
      </c>
      <c r="F32" s="22" t="s">
        <v>211</v>
      </c>
      <c r="G32" s="35">
        <f t="shared" si="0"/>
        <v>93.8</v>
      </c>
      <c r="H32" s="35">
        <f t="shared" si="1"/>
        <v>9755.1999999999989</v>
      </c>
      <c r="I32" s="35">
        <v>0</v>
      </c>
      <c r="J32" s="36">
        <f t="shared" si="2"/>
        <v>0</v>
      </c>
      <c r="K32" s="238">
        <f t="shared" si="3"/>
        <v>9755.1999999999989</v>
      </c>
      <c r="M32" s="19"/>
      <c r="N32" s="15"/>
      <c r="O32" s="20"/>
      <c r="P32" s="17"/>
      <c r="Q32" s="23">
        <v>67</v>
      </c>
      <c r="R32" s="20">
        <f t="shared" si="4"/>
        <v>93.8</v>
      </c>
      <c r="S32" s="16"/>
      <c r="T32" s="18"/>
      <c r="U32" s="13"/>
    </row>
    <row r="33" spans="1:21">
      <c r="A33" s="32"/>
      <c r="B33" s="31"/>
      <c r="C33" s="33" t="s">
        <v>217</v>
      </c>
      <c r="D33" s="34" t="s">
        <v>1461</v>
      </c>
      <c r="E33" s="30">
        <v>4</v>
      </c>
      <c r="F33" s="22" t="s">
        <v>211</v>
      </c>
      <c r="G33" s="35">
        <f t="shared" si="0"/>
        <v>93.8</v>
      </c>
      <c r="H33" s="35">
        <f t="shared" si="1"/>
        <v>375.2</v>
      </c>
      <c r="I33" s="35">
        <v>0</v>
      </c>
      <c r="J33" s="36">
        <f t="shared" si="2"/>
        <v>0</v>
      </c>
      <c r="K33" s="238">
        <f t="shared" si="3"/>
        <v>375.2</v>
      </c>
      <c r="M33" s="19"/>
      <c r="N33" s="15"/>
      <c r="O33" s="20"/>
      <c r="P33" s="17"/>
      <c r="Q33" s="23">
        <v>67</v>
      </c>
      <c r="R33" s="20">
        <f t="shared" si="4"/>
        <v>93.8</v>
      </c>
      <c r="S33" s="16"/>
      <c r="T33" s="18"/>
      <c r="U33" s="13"/>
    </row>
    <row r="34" spans="1:21">
      <c r="A34" s="32"/>
      <c r="B34" s="31"/>
      <c r="C34" s="33" t="s">
        <v>219</v>
      </c>
      <c r="D34" s="34" t="s">
        <v>1462</v>
      </c>
      <c r="E34" s="30">
        <v>2</v>
      </c>
      <c r="F34" s="22" t="s">
        <v>211</v>
      </c>
      <c r="G34" s="35">
        <f t="shared" si="0"/>
        <v>93.8</v>
      </c>
      <c r="H34" s="35">
        <f t="shared" si="1"/>
        <v>187.6</v>
      </c>
      <c r="I34" s="35">
        <v>0</v>
      </c>
      <c r="J34" s="36">
        <f t="shared" si="2"/>
        <v>0</v>
      </c>
      <c r="K34" s="238">
        <f t="shared" si="3"/>
        <v>187.6</v>
      </c>
      <c r="M34" s="19"/>
      <c r="N34" s="15"/>
      <c r="O34" s="20"/>
      <c r="P34" s="17"/>
      <c r="Q34" s="23">
        <v>67</v>
      </c>
      <c r="R34" s="20">
        <f t="shared" si="4"/>
        <v>93.8</v>
      </c>
      <c r="S34" s="16"/>
      <c r="T34" s="18"/>
      <c r="U34" s="13"/>
    </row>
    <row r="35" spans="1:21">
      <c r="A35" s="32"/>
      <c r="B35" s="31"/>
      <c r="C35" s="33" t="s">
        <v>221</v>
      </c>
      <c r="D35" s="34" t="s">
        <v>1463</v>
      </c>
      <c r="E35" s="30">
        <v>52</v>
      </c>
      <c r="F35" s="22" t="s">
        <v>211</v>
      </c>
      <c r="G35" s="35">
        <f t="shared" si="0"/>
        <v>93.8</v>
      </c>
      <c r="H35" s="35">
        <f t="shared" si="1"/>
        <v>4877.5999999999995</v>
      </c>
      <c r="I35" s="35">
        <v>0</v>
      </c>
      <c r="J35" s="36">
        <f t="shared" si="2"/>
        <v>0</v>
      </c>
      <c r="K35" s="238">
        <f t="shared" si="3"/>
        <v>4877.5999999999995</v>
      </c>
      <c r="M35" s="19"/>
      <c r="N35" s="15"/>
      <c r="O35" s="20"/>
      <c r="P35" s="17"/>
      <c r="Q35" s="23">
        <v>67</v>
      </c>
      <c r="R35" s="20">
        <f t="shared" si="4"/>
        <v>93.8</v>
      </c>
      <c r="S35" s="16"/>
      <c r="T35" s="18"/>
      <c r="U35" s="13"/>
    </row>
    <row r="36" spans="1:21">
      <c r="A36" s="32"/>
      <c r="B36" s="31"/>
      <c r="C36" s="33" t="s">
        <v>221</v>
      </c>
      <c r="D36" s="34" t="s">
        <v>1464</v>
      </c>
      <c r="E36" s="30">
        <v>35</v>
      </c>
      <c r="F36" s="22" t="s">
        <v>223</v>
      </c>
      <c r="G36" s="35">
        <f t="shared" si="0"/>
        <v>378</v>
      </c>
      <c r="H36" s="35">
        <f t="shared" si="1"/>
        <v>13230</v>
      </c>
      <c r="I36" s="35">
        <v>0</v>
      </c>
      <c r="J36" s="36">
        <f t="shared" si="2"/>
        <v>0</v>
      </c>
      <c r="K36" s="238">
        <f t="shared" si="3"/>
        <v>13230</v>
      </c>
      <c r="M36" s="19"/>
      <c r="N36" s="15"/>
      <c r="O36" s="20"/>
      <c r="P36" s="17"/>
      <c r="Q36" s="23">
        <v>270</v>
      </c>
      <c r="R36" s="20">
        <f t="shared" si="4"/>
        <v>378</v>
      </c>
      <c r="S36" s="16"/>
      <c r="T36" s="18"/>
      <c r="U36" s="13"/>
    </row>
    <row r="37" spans="1:21">
      <c r="A37" s="32"/>
      <c r="B37" s="31"/>
      <c r="C37" s="33" t="s">
        <v>224</v>
      </c>
      <c r="D37" s="34" t="s">
        <v>225</v>
      </c>
      <c r="E37" s="30">
        <v>4360</v>
      </c>
      <c r="F37" s="22" t="s">
        <v>223</v>
      </c>
      <c r="G37" s="35">
        <f t="shared" si="0"/>
        <v>14</v>
      </c>
      <c r="H37" s="35">
        <f t="shared" si="1"/>
        <v>61040</v>
      </c>
      <c r="I37" s="35">
        <v>0</v>
      </c>
      <c r="J37" s="36">
        <f t="shared" si="2"/>
        <v>0</v>
      </c>
      <c r="K37" s="238">
        <f t="shared" si="3"/>
        <v>61040</v>
      </c>
      <c r="M37" s="19"/>
      <c r="N37" s="15"/>
      <c r="O37" s="20"/>
      <c r="P37" s="17"/>
      <c r="Q37" s="23">
        <v>10</v>
      </c>
      <c r="R37" s="20">
        <f t="shared" si="4"/>
        <v>14</v>
      </c>
      <c r="S37" s="16"/>
      <c r="T37" s="18"/>
      <c r="U37" s="13"/>
    </row>
    <row r="38" spans="1:21">
      <c r="A38" s="32"/>
      <c r="B38" s="31"/>
      <c r="C38" s="33" t="s">
        <v>226</v>
      </c>
      <c r="D38" s="34" t="s">
        <v>227</v>
      </c>
      <c r="E38" s="30">
        <v>350</v>
      </c>
      <c r="F38" s="22" t="s">
        <v>223</v>
      </c>
      <c r="G38" s="35">
        <f t="shared" si="0"/>
        <v>11.2</v>
      </c>
      <c r="H38" s="35">
        <f t="shared" si="1"/>
        <v>3919.9999999999995</v>
      </c>
      <c r="I38" s="35">
        <v>0</v>
      </c>
      <c r="J38" s="36">
        <f t="shared" si="2"/>
        <v>0</v>
      </c>
      <c r="K38" s="238">
        <f t="shared" si="3"/>
        <v>3919.9999999999995</v>
      </c>
      <c r="M38" s="19"/>
      <c r="N38" s="15"/>
      <c r="O38" s="20"/>
      <c r="P38" s="17"/>
      <c r="Q38" s="23">
        <v>8</v>
      </c>
      <c r="R38" s="20">
        <f t="shared" si="4"/>
        <v>11.2</v>
      </c>
      <c r="S38" s="16"/>
      <c r="T38" s="18"/>
      <c r="U38" s="13"/>
    </row>
    <row r="39" spans="1:21" s="13" customFormat="1">
      <c r="A39" s="32"/>
      <c r="B39" s="31"/>
      <c r="C39" s="33" t="s">
        <v>228</v>
      </c>
      <c r="D39" s="34" t="s">
        <v>229</v>
      </c>
      <c r="E39" s="30"/>
      <c r="F39" s="22"/>
      <c r="G39" s="35"/>
      <c r="H39" s="35"/>
      <c r="I39" s="35"/>
      <c r="J39" s="36"/>
      <c r="K39" s="238"/>
      <c r="M39" s="19"/>
      <c r="N39" s="15"/>
      <c r="O39" s="20"/>
      <c r="P39" s="17"/>
      <c r="Q39" s="23"/>
      <c r="R39" s="20">
        <f t="shared" si="4"/>
        <v>0</v>
      </c>
      <c r="S39" s="16"/>
      <c r="T39" s="18"/>
    </row>
    <row r="40" spans="1:21">
      <c r="A40" s="32"/>
      <c r="B40" s="31"/>
      <c r="C40" s="33"/>
      <c r="D40" s="34" t="s">
        <v>230</v>
      </c>
      <c r="E40" s="30">
        <v>170</v>
      </c>
      <c r="F40" s="22" t="s">
        <v>185</v>
      </c>
      <c r="G40" s="35">
        <f t="shared" si="0"/>
        <v>475.99999999999994</v>
      </c>
      <c r="H40" s="35">
        <f t="shared" si="1"/>
        <v>80919.999999999985</v>
      </c>
      <c r="I40" s="35">
        <v>80</v>
      </c>
      <c r="J40" s="36">
        <f t="shared" si="2"/>
        <v>13600</v>
      </c>
      <c r="K40" s="238">
        <f t="shared" si="3"/>
        <v>94519.999999999985</v>
      </c>
      <c r="M40" s="19"/>
      <c r="N40" s="15"/>
      <c r="O40" s="20"/>
      <c r="P40" s="17"/>
      <c r="Q40" s="23">
        <v>340</v>
      </c>
      <c r="R40" s="20">
        <f t="shared" si="4"/>
        <v>475.99999999999994</v>
      </c>
      <c r="S40" s="16"/>
      <c r="T40" s="18"/>
      <c r="U40" s="13"/>
    </row>
    <row r="41" spans="1:21">
      <c r="A41" s="32"/>
      <c r="B41" s="31"/>
      <c r="C41" s="33"/>
      <c r="D41" s="34" t="s">
        <v>231</v>
      </c>
      <c r="E41" s="30">
        <v>170</v>
      </c>
      <c r="F41" s="22" t="s">
        <v>185</v>
      </c>
      <c r="G41" s="35">
        <f t="shared" si="0"/>
        <v>616</v>
      </c>
      <c r="H41" s="35">
        <f t="shared" si="1"/>
        <v>104720</v>
      </c>
      <c r="I41" s="35">
        <v>80</v>
      </c>
      <c r="J41" s="36">
        <f t="shared" si="2"/>
        <v>13600</v>
      </c>
      <c r="K41" s="238">
        <f t="shared" si="3"/>
        <v>118320</v>
      </c>
      <c r="M41" s="19"/>
      <c r="N41" s="15"/>
      <c r="O41" s="20"/>
      <c r="P41" s="17"/>
      <c r="Q41" s="23">
        <v>440</v>
      </c>
      <c r="R41" s="20">
        <f t="shared" si="4"/>
        <v>616</v>
      </c>
      <c r="S41" s="16"/>
      <c r="T41" s="18"/>
      <c r="U41" s="13"/>
    </row>
    <row r="42" spans="1:21">
      <c r="A42" s="32"/>
      <c r="B42" s="31"/>
      <c r="C42" s="33" t="s">
        <v>232</v>
      </c>
      <c r="D42" s="34" t="s">
        <v>233</v>
      </c>
      <c r="E42" s="30"/>
      <c r="F42" s="22"/>
      <c r="G42" s="35"/>
      <c r="H42" s="35"/>
      <c r="I42" s="35"/>
      <c r="J42" s="36"/>
      <c r="K42" s="238"/>
      <c r="M42" s="19"/>
      <c r="N42" s="15"/>
      <c r="O42" s="20"/>
      <c r="P42" s="17"/>
      <c r="Q42" s="23"/>
      <c r="R42" s="20">
        <f t="shared" si="4"/>
        <v>0</v>
      </c>
      <c r="S42" s="16"/>
      <c r="T42" s="18"/>
      <c r="U42" s="13"/>
    </row>
    <row r="43" spans="1:21">
      <c r="A43" s="32"/>
      <c r="B43" s="31"/>
      <c r="C43" s="33"/>
      <c r="D43" s="34" t="s">
        <v>234</v>
      </c>
      <c r="E43" s="30">
        <v>150</v>
      </c>
      <c r="F43" s="22" t="s">
        <v>185</v>
      </c>
      <c r="G43" s="35">
        <f t="shared" si="0"/>
        <v>489.99999999999994</v>
      </c>
      <c r="H43" s="35">
        <f t="shared" si="1"/>
        <v>73499.999999999985</v>
      </c>
      <c r="I43" s="35">
        <v>140</v>
      </c>
      <c r="J43" s="36">
        <f t="shared" si="2"/>
        <v>21000</v>
      </c>
      <c r="K43" s="238">
        <f t="shared" si="3"/>
        <v>94499.999999999985</v>
      </c>
      <c r="M43" s="19"/>
      <c r="N43" s="15"/>
      <c r="O43" s="20"/>
      <c r="P43" s="17"/>
      <c r="Q43" s="23">
        <v>350</v>
      </c>
      <c r="R43" s="20">
        <f t="shared" si="4"/>
        <v>489.99999999999994</v>
      </c>
      <c r="S43" s="16"/>
      <c r="T43" s="18"/>
      <c r="U43" s="13"/>
    </row>
    <row r="44" spans="1:21">
      <c r="A44" s="32"/>
      <c r="B44" s="31"/>
      <c r="C44" s="33"/>
      <c r="D44" s="34" t="s">
        <v>235</v>
      </c>
      <c r="E44" s="30">
        <v>24</v>
      </c>
      <c r="F44" s="22" t="s">
        <v>185</v>
      </c>
      <c r="G44" s="35">
        <f t="shared" si="0"/>
        <v>489.99999999999994</v>
      </c>
      <c r="H44" s="35">
        <f t="shared" si="1"/>
        <v>11759.999999999998</v>
      </c>
      <c r="I44" s="35">
        <v>80</v>
      </c>
      <c r="J44" s="36">
        <f t="shared" si="2"/>
        <v>1920</v>
      </c>
      <c r="K44" s="238">
        <f t="shared" si="3"/>
        <v>13679.999999999998</v>
      </c>
      <c r="M44" s="19"/>
      <c r="N44" s="15"/>
      <c r="O44" s="20"/>
      <c r="P44" s="17"/>
      <c r="Q44" s="23">
        <v>350</v>
      </c>
      <c r="R44" s="20">
        <f t="shared" si="4"/>
        <v>489.99999999999994</v>
      </c>
      <c r="S44" s="16"/>
      <c r="T44" s="18"/>
      <c r="U44" s="13"/>
    </row>
    <row r="45" spans="1:21">
      <c r="A45" s="32"/>
      <c r="B45" s="31"/>
      <c r="C45" s="33"/>
      <c r="D45" s="34" t="s">
        <v>236</v>
      </c>
      <c r="E45" s="30">
        <v>12</v>
      </c>
      <c r="F45" s="22" t="s">
        <v>185</v>
      </c>
      <c r="G45" s="35">
        <f t="shared" si="0"/>
        <v>378</v>
      </c>
      <c r="H45" s="35">
        <f t="shared" si="1"/>
        <v>4536</v>
      </c>
      <c r="I45" s="35">
        <v>60</v>
      </c>
      <c r="J45" s="36">
        <f t="shared" si="2"/>
        <v>720</v>
      </c>
      <c r="K45" s="238">
        <f t="shared" si="3"/>
        <v>5256</v>
      </c>
      <c r="M45" s="19"/>
      <c r="N45" s="15"/>
      <c r="O45" s="20"/>
      <c r="P45" s="17"/>
      <c r="Q45" s="23">
        <v>270</v>
      </c>
      <c r="R45" s="20">
        <f t="shared" si="4"/>
        <v>378</v>
      </c>
      <c r="S45" s="16"/>
      <c r="T45" s="18"/>
      <c r="U45" s="13"/>
    </row>
    <row r="46" spans="1:21">
      <c r="A46" s="32"/>
      <c r="B46" s="31">
        <v>2.5</v>
      </c>
      <c r="C46" s="33"/>
      <c r="D46" s="34" t="s">
        <v>237</v>
      </c>
      <c r="E46" s="30"/>
      <c r="F46" s="22"/>
      <c r="G46" s="35"/>
      <c r="H46" s="35"/>
      <c r="I46" s="35"/>
      <c r="J46" s="36"/>
      <c r="K46" s="238"/>
      <c r="M46" s="19"/>
      <c r="N46" s="15"/>
      <c r="O46" s="20"/>
      <c r="P46" s="17"/>
      <c r="Q46" s="23"/>
      <c r="R46" s="20">
        <f t="shared" si="4"/>
        <v>0</v>
      </c>
      <c r="S46" s="16"/>
      <c r="T46" s="18"/>
      <c r="U46" s="13"/>
    </row>
    <row r="47" spans="1:21">
      <c r="A47" s="32"/>
      <c r="B47" s="31"/>
      <c r="C47" s="33" t="s">
        <v>238</v>
      </c>
      <c r="D47" s="66" t="s">
        <v>1465</v>
      </c>
      <c r="E47" s="30">
        <v>1</v>
      </c>
      <c r="F47" s="22" t="s">
        <v>240</v>
      </c>
      <c r="G47" s="35">
        <f t="shared" si="0"/>
        <v>23800</v>
      </c>
      <c r="H47" s="35">
        <f t="shared" si="1"/>
        <v>23800</v>
      </c>
      <c r="I47" s="35">
        <v>4500</v>
      </c>
      <c r="J47" s="36">
        <f t="shared" si="2"/>
        <v>4500</v>
      </c>
      <c r="K47" s="238">
        <f t="shared" si="3"/>
        <v>28300</v>
      </c>
      <c r="M47" s="19"/>
      <c r="N47" s="15"/>
      <c r="O47" s="20"/>
      <c r="P47" s="17"/>
      <c r="Q47" s="23">
        <v>17000</v>
      </c>
      <c r="R47" s="20">
        <f t="shared" si="4"/>
        <v>23800</v>
      </c>
      <c r="S47" s="16"/>
      <c r="T47" s="18"/>
      <c r="U47" s="13"/>
    </row>
    <row r="48" spans="1:21">
      <c r="A48" s="32"/>
      <c r="B48" s="31"/>
      <c r="C48" s="33" t="s">
        <v>241</v>
      </c>
      <c r="D48" s="66" t="s">
        <v>242</v>
      </c>
      <c r="E48" s="30">
        <v>40</v>
      </c>
      <c r="F48" s="22" t="s">
        <v>240</v>
      </c>
      <c r="G48" s="35">
        <f t="shared" si="0"/>
        <v>3989.9999999999995</v>
      </c>
      <c r="H48" s="35">
        <f t="shared" si="1"/>
        <v>159599.99999999997</v>
      </c>
      <c r="I48" s="35">
        <v>850</v>
      </c>
      <c r="J48" s="36">
        <f t="shared" si="2"/>
        <v>34000</v>
      </c>
      <c r="K48" s="238">
        <f t="shared" si="3"/>
        <v>193599.99999999997</v>
      </c>
      <c r="M48" s="19"/>
      <c r="N48" s="15"/>
      <c r="O48" s="20"/>
      <c r="P48" s="17"/>
      <c r="Q48" s="23">
        <v>2850</v>
      </c>
      <c r="R48" s="20">
        <f t="shared" si="4"/>
        <v>3989.9999999999995</v>
      </c>
      <c r="S48" s="16"/>
      <c r="T48" s="18"/>
      <c r="U48" s="13"/>
    </row>
    <row r="49" spans="1:21">
      <c r="A49" s="32"/>
      <c r="B49" s="31"/>
      <c r="C49" s="33" t="s">
        <v>243</v>
      </c>
      <c r="D49" s="66" t="s">
        <v>1466</v>
      </c>
      <c r="E49" s="30">
        <v>20</v>
      </c>
      <c r="F49" s="22" t="s">
        <v>240</v>
      </c>
      <c r="G49" s="35">
        <f t="shared" si="0"/>
        <v>1959.9999999999998</v>
      </c>
      <c r="H49" s="35">
        <f t="shared" si="1"/>
        <v>39199.999999999993</v>
      </c>
      <c r="I49" s="35">
        <v>700</v>
      </c>
      <c r="J49" s="36">
        <f t="shared" si="2"/>
        <v>14000</v>
      </c>
      <c r="K49" s="238">
        <f t="shared" si="3"/>
        <v>53199.999999999993</v>
      </c>
      <c r="M49" s="19"/>
      <c r="N49" s="15"/>
      <c r="O49" s="20"/>
      <c r="P49" s="17"/>
      <c r="Q49" s="23">
        <v>1400</v>
      </c>
      <c r="R49" s="20">
        <f t="shared" si="4"/>
        <v>1959.9999999999998</v>
      </c>
      <c r="S49" s="16"/>
      <c r="T49" s="18"/>
      <c r="U49" s="13"/>
    </row>
    <row r="50" spans="1:21">
      <c r="A50" s="32"/>
      <c r="B50" s="31"/>
      <c r="C50" s="33" t="s">
        <v>245</v>
      </c>
      <c r="D50" s="66" t="s">
        <v>1467</v>
      </c>
      <c r="E50" s="30">
        <v>20</v>
      </c>
      <c r="F50" s="22" t="s">
        <v>240</v>
      </c>
      <c r="G50" s="35">
        <f t="shared" si="0"/>
        <v>3528</v>
      </c>
      <c r="H50" s="35">
        <f t="shared" si="1"/>
        <v>70560</v>
      </c>
      <c r="I50" s="35">
        <v>850</v>
      </c>
      <c r="J50" s="36">
        <f t="shared" si="2"/>
        <v>17000</v>
      </c>
      <c r="K50" s="238">
        <f t="shared" si="3"/>
        <v>87560</v>
      </c>
      <c r="M50" s="19"/>
      <c r="N50" s="15"/>
      <c r="O50" s="20"/>
      <c r="P50" s="17"/>
      <c r="Q50" s="23">
        <v>2520</v>
      </c>
      <c r="R50" s="20">
        <f t="shared" si="4"/>
        <v>3528</v>
      </c>
      <c r="S50" s="16"/>
      <c r="T50" s="18"/>
      <c r="U50" s="13"/>
    </row>
    <row r="51" spans="1:21">
      <c r="A51" s="32"/>
      <c r="B51" s="31"/>
      <c r="C51" s="33" t="s">
        <v>247</v>
      </c>
      <c r="D51" s="66" t="s">
        <v>1468</v>
      </c>
      <c r="E51" s="30">
        <v>2</v>
      </c>
      <c r="F51" s="22" t="s">
        <v>240</v>
      </c>
      <c r="G51" s="35">
        <f t="shared" si="0"/>
        <v>3849.9999999999995</v>
      </c>
      <c r="H51" s="35">
        <f t="shared" si="1"/>
        <v>7699.9999999999991</v>
      </c>
      <c r="I51" s="35">
        <v>850</v>
      </c>
      <c r="J51" s="36">
        <f t="shared" si="2"/>
        <v>1700</v>
      </c>
      <c r="K51" s="238">
        <f t="shared" si="3"/>
        <v>9400</v>
      </c>
      <c r="M51" s="19"/>
      <c r="N51" s="15"/>
      <c r="O51" s="20"/>
      <c r="P51" s="17"/>
      <c r="Q51" s="23">
        <v>2750</v>
      </c>
      <c r="R51" s="20">
        <f t="shared" si="4"/>
        <v>3849.9999999999995</v>
      </c>
      <c r="S51" s="16"/>
      <c r="T51" s="18"/>
      <c r="U51" s="13"/>
    </row>
    <row r="52" spans="1:21">
      <c r="A52" s="32"/>
      <c r="B52" s="31"/>
      <c r="C52" s="33" t="s">
        <v>249</v>
      </c>
      <c r="D52" s="66" t="s">
        <v>1469</v>
      </c>
      <c r="E52" s="30">
        <v>40</v>
      </c>
      <c r="F52" s="22" t="s">
        <v>240</v>
      </c>
      <c r="G52" s="35">
        <f t="shared" si="0"/>
        <v>4620</v>
      </c>
      <c r="H52" s="35">
        <f t="shared" si="1"/>
        <v>184800</v>
      </c>
      <c r="I52" s="35">
        <v>750</v>
      </c>
      <c r="J52" s="36">
        <f t="shared" si="2"/>
        <v>30000</v>
      </c>
      <c r="K52" s="238">
        <f t="shared" si="3"/>
        <v>214800</v>
      </c>
      <c r="L52" s="21"/>
      <c r="M52" s="19"/>
      <c r="N52" s="15"/>
      <c r="O52" s="20"/>
      <c r="P52" s="17"/>
      <c r="Q52" s="23">
        <v>3300</v>
      </c>
      <c r="R52" s="20">
        <f t="shared" si="4"/>
        <v>4620</v>
      </c>
      <c r="S52" s="16"/>
      <c r="T52" s="18"/>
      <c r="U52" s="13"/>
    </row>
    <row r="53" spans="1:21">
      <c r="A53" s="32"/>
      <c r="B53" s="31"/>
      <c r="C53" s="33" t="s">
        <v>251</v>
      </c>
      <c r="D53" s="66" t="s">
        <v>252</v>
      </c>
      <c r="E53" s="30">
        <v>2</v>
      </c>
      <c r="F53" s="22" t="s">
        <v>240</v>
      </c>
      <c r="G53" s="35">
        <f t="shared" si="0"/>
        <v>2730</v>
      </c>
      <c r="H53" s="35">
        <f t="shared" si="1"/>
        <v>5460</v>
      </c>
      <c r="I53" s="35">
        <v>750</v>
      </c>
      <c r="J53" s="36">
        <f t="shared" si="2"/>
        <v>1500</v>
      </c>
      <c r="K53" s="238">
        <f t="shared" si="3"/>
        <v>6960</v>
      </c>
      <c r="M53" s="19"/>
      <c r="N53" s="15"/>
      <c r="O53" s="20"/>
      <c r="P53" s="17"/>
      <c r="Q53" s="23">
        <v>1950</v>
      </c>
      <c r="R53" s="20">
        <f t="shared" si="4"/>
        <v>2730</v>
      </c>
      <c r="S53" s="16"/>
      <c r="T53" s="18"/>
      <c r="U53" s="13"/>
    </row>
    <row r="54" spans="1:21">
      <c r="A54" s="32"/>
      <c r="B54" s="31"/>
      <c r="C54" s="33" t="s">
        <v>253</v>
      </c>
      <c r="D54" s="66" t="s">
        <v>254</v>
      </c>
      <c r="E54" s="30">
        <v>40</v>
      </c>
      <c r="F54" s="22" t="s">
        <v>240</v>
      </c>
      <c r="G54" s="35">
        <f t="shared" si="0"/>
        <v>728</v>
      </c>
      <c r="H54" s="35">
        <f t="shared" si="1"/>
        <v>29120</v>
      </c>
      <c r="I54" s="35">
        <v>350</v>
      </c>
      <c r="J54" s="36">
        <f t="shared" si="2"/>
        <v>14000</v>
      </c>
      <c r="K54" s="238">
        <f t="shared" si="3"/>
        <v>43120</v>
      </c>
      <c r="M54" s="19"/>
      <c r="N54" s="15"/>
      <c r="O54" s="20"/>
      <c r="P54" s="17"/>
      <c r="Q54" s="23">
        <v>520</v>
      </c>
      <c r="R54" s="20">
        <f t="shared" si="4"/>
        <v>728</v>
      </c>
      <c r="S54" s="16"/>
      <c r="T54" s="18"/>
      <c r="U54" s="13"/>
    </row>
    <row r="55" spans="1:21">
      <c r="A55" s="32"/>
      <c r="B55" s="31"/>
      <c r="C55" s="33" t="s">
        <v>255</v>
      </c>
      <c r="D55" s="66" t="s">
        <v>256</v>
      </c>
      <c r="E55" s="30">
        <v>2</v>
      </c>
      <c r="F55" s="22" t="s">
        <v>240</v>
      </c>
      <c r="G55" s="35">
        <f t="shared" si="0"/>
        <v>9730</v>
      </c>
      <c r="H55" s="35">
        <f t="shared" si="1"/>
        <v>19460</v>
      </c>
      <c r="I55" s="35">
        <v>900</v>
      </c>
      <c r="J55" s="36">
        <f t="shared" si="2"/>
        <v>1800</v>
      </c>
      <c r="K55" s="238">
        <f t="shared" si="3"/>
        <v>21260</v>
      </c>
      <c r="M55" s="19"/>
      <c r="N55" s="15"/>
      <c r="O55" s="20"/>
      <c r="P55" s="17"/>
      <c r="Q55" s="23">
        <v>6950</v>
      </c>
      <c r="R55" s="20">
        <f t="shared" si="4"/>
        <v>9730</v>
      </c>
      <c r="S55" s="16"/>
      <c r="T55" s="18"/>
      <c r="U55" s="13"/>
    </row>
    <row r="56" spans="1:21">
      <c r="A56" s="32"/>
      <c r="B56" s="31"/>
      <c r="C56" s="33" t="s">
        <v>257</v>
      </c>
      <c r="D56" s="66" t="s">
        <v>258</v>
      </c>
      <c r="E56" s="30"/>
      <c r="F56" s="22"/>
      <c r="G56" s="35"/>
      <c r="H56" s="35"/>
      <c r="I56" s="35"/>
      <c r="J56" s="36"/>
      <c r="K56" s="238"/>
      <c r="M56" s="19"/>
      <c r="N56" s="15"/>
      <c r="O56" s="20"/>
      <c r="P56" s="17"/>
      <c r="Q56" s="23"/>
      <c r="R56" s="20">
        <f t="shared" si="4"/>
        <v>0</v>
      </c>
      <c r="S56" s="16"/>
      <c r="T56" s="18"/>
      <c r="U56" s="13"/>
    </row>
    <row r="57" spans="1:21">
      <c r="A57" s="32"/>
      <c r="B57" s="31"/>
      <c r="C57" s="33"/>
      <c r="D57" s="66" t="s">
        <v>259</v>
      </c>
      <c r="E57" s="30">
        <v>20</v>
      </c>
      <c r="F57" s="22" t="s">
        <v>240</v>
      </c>
      <c r="G57" s="35">
        <f t="shared" si="0"/>
        <v>1190</v>
      </c>
      <c r="H57" s="35">
        <f t="shared" si="1"/>
        <v>23800</v>
      </c>
      <c r="I57" s="35">
        <v>330</v>
      </c>
      <c r="J57" s="36">
        <f t="shared" si="2"/>
        <v>6600</v>
      </c>
      <c r="K57" s="238">
        <f t="shared" si="3"/>
        <v>30400</v>
      </c>
      <c r="M57" s="19"/>
      <c r="N57" s="15"/>
      <c r="O57" s="20"/>
      <c r="P57" s="17"/>
      <c r="Q57" s="23">
        <v>850</v>
      </c>
      <c r="R57" s="20">
        <f t="shared" si="4"/>
        <v>1190</v>
      </c>
      <c r="S57" s="16"/>
      <c r="T57" s="18"/>
      <c r="U57" s="13"/>
    </row>
    <row r="58" spans="1:21">
      <c r="A58" s="32"/>
      <c r="B58" s="31"/>
      <c r="C58" s="33"/>
      <c r="D58" s="66" t="s">
        <v>260</v>
      </c>
      <c r="E58" s="30">
        <v>20</v>
      </c>
      <c r="F58" s="22" t="s">
        <v>240</v>
      </c>
      <c r="G58" s="35">
        <f t="shared" si="0"/>
        <v>1190</v>
      </c>
      <c r="H58" s="35">
        <f t="shared" si="1"/>
        <v>23800</v>
      </c>
      <c r="I58" s="35">
        <v>330</v>
      </c>
      <c r="J58" s="36">
        <f t="shared" si="2"/>
        <v>6600</v>
      </c>
      <c r="K58" s="238">
        <f t="shared" si="3"/>
        <v>30400</v>
      </c>
      <c r="M58" s="19"/>
      <c r="N58" s="15"/>
      <c r="O58" s="20"/>
      <c r="P58" s="17"/>
      <c r="Q58" s="23">
        <v>850</v>
      </c>
      <c r="R58" s="20">
        <f t="shared" si="4"/>
        <v>1190</v>
      </c>
      <c r="S58" s="16"/>
      <c r="T58" s="18"/>
      <c r="U58" s="13"/>
    </row>
    <row r="59" spans="1:21">
      <c r="A59" s="32"/>
      <c r="B59" s="31">
        <v>2.6</v>
      </c>
      <c r="C59" s="33"/>
      <c r="D59" s="34" t="s">
        <v>261</v>
      </c>
      <c r="E59" s="30"/>
      <c r="F59" s="22"/>
      <c r="G59" s="35"/>
      <c r="H59" s="35"/>
      <c r="I59" s="35"/>
      <c r="J59" s="36"/>
      <c r="K59" s="238"/>
      <c r="M59" s="19"/>
      <c r="N59" s="15"/>
      <c r="O59" s="20"/>
      <c r="P59" s="17"/>
      <c r="Q59" s="23"/>
      <c r="R59" s="20">
        <f t="shared" si="4"/>
        <v>0</v>
      </c>
      <c r="S59" s="16"/>
      <c r="T59" s="18"/>
      <c r="U59" s="13"/>
    </row>
    <row r="60" spans="1:21">
      <c r="A60" s="32"/>
      <c r="B60" s="31"/>
      <c r="C60" s="33" t="s">
        <v>262</v>
      </c>
      <c r="D60" s="34" t="s">
        <v>1470</v>
      </c>
      <c r="E60" s="30">
        <v>2325</v>
      </c>
      <c r="F60" s="22" t="s">
        <v>121</v>
      </c>
      <c r="G60" s="35">
        <f t="shared" si="0"/>
        <v>98</v>
      </c>
      <c r="H60" s="35">
        <f t="shared" si="1"/>
        <v>227850</v>
      </c>
      <c r="I60" s="35">
        <v>40</v>
      </c>
      <c r="J60" s="36">
        <f t="shared" si="2"/>
        <v>93000</v>
      </c>
      <c r="K60" s="238">
        <f t="shared" si="3"/>
        <v>320850</v>
      </c>
      <c r="M60" s="19"/>
      <c r="N60" s="15"/>
      <c r="O60" s="20"/>
      <c r="P60" s="17"/>
      <c r="Q60" s="23">
        <v>70</v>
      </c>
      <c r="R60" s="20">
        <f t="shared" si="4"/>
        <v>98</v>
      </c>
      <c r="S60" s="16"/>
      <c r="T60" s="18"/>
      <c r="U60" s="13"/>
    </row>
    <row r="61" spans="1:21">
      <c r="A61" s="32"/>
      <c r="B61" s="31"/>
      <c r="C61" s="33" t="s">
        <v>264</v>
      </c>
      <c r="D61" s="34" t="s">
        <v>1471</v>
      </c>
      <c r="E61" s="30">
        <v>420</v>
      </c>
      <c r="F61" s="22" t="s">
        <v>121</v>
      </c>
      <c r="G61" s="35">
        <f t="shared" si="0"/>
        <v>98</v>
      </c>
      <c r="H61" s="35">
        <f t="shared" si="1"/>
        <v>41160</v>
      </c>
      <c r="I61" s="35">
        <v>40</v>
      </c>
      <c r="J61" s="36">
        <f t="shared" si="2"/>
        <v>16800</v>
      </c>
      <c r="K61" s="238">
        <f t="shared" si="3"/>
        <v>57960</v>
      </c>
      <c r="M61" s="19"/>
      <c r="N61" s="15"/>
      <c r="O61" s="20"/>
      <c r="P61" s="17"/>
      <c r="Q61" s="23">
        <v>70</v>
      </c>
      <c r="R61" s="20">
        <f t="shared" si="4"/>
        <v>98</v>
      </c>
      <c r="S61" s="16"/>
      <c r="T61" s="18"/>
      <c r="U61" s="13"/>
    </row>
    <row r="62" spans="1:21">
      <c r="A62" s="32"/>
      <c r="B62" s="31"/>
      <c r="C62" s="33" t="s">
        <v>266</v>
      </c>
      <c r="D62" s="34" t="s">
        <v>1472</v>
      </c>
      <c r="E62" s="30">
        <v>0</v>
      </c>
      <c r="F62" s="22" t="s">
        <v>121</v>
      </c>
      <c r="G62" s="35">
        <f t="shared" si="0"/>
        <v>98</v>
      </c>
      <c r="H62" s="35">
        <f t="shared" si="1"/>
        <v>0</v>
      </c>
      <c r="I62" s="35">
        <v>40</v>
      </c>
      <c r="J62" s="36">
        <f t="shared" si="2"/>
        <v>0</v>
      </c>
      <c r="K62" s="238">
        <f t="shared" si="3"/>
        <v>0</v>
      </c>
      <c r="M62" s="19"/>
      <c r="N62" s="15"/>
      <c r="O62" s="20"/>
      <c r="P62" s="17"/>
      <c r="Q62" s="23">
        <v>70</v>
      </c>
      <c r="R62" s="20">
        <f t="shared" si="4"/>
        <v>98</v>
      </c>
      <c r="S62" s="16"/>
      <c r="T62" s="18"/>
      <c r="U62" s="13"/>
    </row>
    <row r="63" spans="1:21">
      <c r="A63" s="32"/>
      <c r="B63" s="31"/>
      <c r="C63" s="33" t="s">
        <v>268</v>
      </c>
      <c r="D63" s="34" t="s">
        <v>1473</v>
      </c>
      <c r="E63" s="30">
        <v>45</v>
      </c>
      <c r="F63" s="22" t="s">
        <v>121</v>
      </c>
      <c r="G63" s="35">
        <f t="shared" si="0"/>
        <v>98</v>
      </c>
      <c r="H63" s="35">
        <f t="shared" si="1"/>
        <v>4410</v>
      </c>
      <c r="I63" s="35">
        <v>40</v>
      </c>
      <c r="J63" s="36">
        <f t="shared" si="2"/>
        <v>1800</v>
      </c>
      <c r="K63" s="238">
        <f t="shared" si="3"/>
        <v>6210</v>
      </c>
      <c r="M63" s="19"/>
      <c r="N63" s="15"/>
      <c r="O63" s="20"/>
      <c r="P63" s="17"/>
      <c r="Q63" s="23">
        <v>70</v>
      </c>
      <c r="R63" s="20">
        <f t="shared" si="4"/>
        <v>98</v>
      </c>
      <c r="S63" s="16"/>
      <c r="T63" s="18"/>
      <c r="U63" s="13"/>
    </row>
    <row r="64" spans="1:21">
      <c r="A64" s="32"/>
      <c r="B64" s="31"/>
      <c r="C64" s="33" t="s">
        <v>270</v>
      </c>
      <c r="D64" s="34" t="s">
        <v>1474</v>
      </c>
      <c r="E64" s="30">
        <v>250</v>
      </c>
      <c r="F64" s="22" t="s">
        <v>121</v>
      </c>
      <c r="G64" s="35">
        <f t="shared" si="0"/>
        <v>98</v>
      </c>
      <c r="H64" s="35">
        <f t="shared" si="1"/>
        <v>24500</v>
      </c>
      <c r="I64" s="35">
        <v>40</v>
      </c>
      <c r="J64" s="36">
        <f t="shared" si="2"/>
        <v>10000</v>
      </c>
      <c r="K64" s="238">
        <f t="shared" si="3"/>
        <v>34500</v>
      </c>
      <c r="M64" s="19"/>
      <c r="N64" s="15"/>
      <c r="O64" s="20"/>
      <c r="P64" s="17"/>
      <c r="Q64" s="23">
        <v>70</v>
      </c>
      <c r="R64" s="20">
        <f t="shared" si="4"/>
        <v>98</v>
      </c>
      <c r="S64" s="16"/>
      <c r="T64" s="18"/>
      <c r="U64" s="13"/>
    </row>
    <row r="65" spans="1:21">
      <c r="A65" s="32"/>
      <c r="B65" s="31"/>
      <c r="C65" s="33" t="s">
        <v>272</v>
      </c>
      <c r="D65" s="34" t="s">
        <v>1475</v>
      </c>
      <c r="E65" s="30">
        <v>209</v>
      </c>
      <c r="F65" s="22" t="s">
        <v>121</v>
      </c>
      <c r="G65" s="35">
        <f t="shared" si="0"/>
        <v>98</v>
      </c>
      <c r="H65" s="35">
        <f t="shared" si="1"/>
        <v>20482</v>
      </c>
      <c r="I65" s="35">
        <v>40</v>
      </c>
      <c r="J65" s="36">
        <f t="shared" si="2"/>
        <v>8360</v>
      </c>
      <c r="K65" s="238">
        <f t="shared" si="3"/>
        <v>28842</v>
      </c>
      <c r="M65" s="19"/>
      <c r="N65" s="15"/>
      <c r="O65" s="20"/>
      <c r="P65" s="17"/>
      <c r="Q65" s="23">
        <v>70</v>
      </c>
      <c r="R65" s="20">
        <f t="shared" si="4"/>
        <v>98</v>
      </c>
      <c r="S65" s="16"/>
      <c r="T65" s="18"/>
      <c r="U65" s="13"/>
    </row>
    <row r="66" spans="1:21">
      <c r="A66" s="32"/>
      <c r="B66" s="31">
        <v>2.7</v>
      </c>
      <c r="C66" s="33"/>
      <c r="D66" s="34" t="s">
        <v>274</v>
      </c>
      <c r="E66" s="30"/>
      <c r="F66" s="22"/>
      <c r="G66" s="35"/>
      <c r="H66" s="35"/>
      <c r="I66" s="35"/>
      <c r="J66" s="36"/>
      <c r="K66" s="238"/>
      <c r="M66" s="19"/>
      <c r="N66" s="15"/>
      <c r="O66" s="20"/>
      <c r="P66" s="17"/>
      <c r="Q66" s="23"/>
      <c r="R66" s="20">
        <f t="shared" si="4"/>
        <v>0</v>
      </c>
      <c r="S66" s="16"/>
      <c r="T66" s="18"/>
      <c r="U66" s="13"/>
    </row>
    <row r="67" spans="1:21">
      <c r="A67" s="32"/>
      <c r="B67" s="31"/>
      <c r="C67" s="33" t="s">
        <v>275</v>
      </c>
      <c r="D67" s="34" t="s">
        <v>1476</v>
      </c>
      <c r="E67" s="30">
        <v>1</v>
      </c>
      <c r="F67" s="22" t="s">
        <v>277</v>
      </c>
      <c r="G67" s="35">
        <f t="shared" si="0"/>
        <v>77000</v>
      </c>
      <c r="H67" s="35">
        <f t="shared" si="1"/>
        <v>77000</v>
      </c>
      <c r="I67" s="35">
        <v>20000</v>
      </c>
      <c r="J67" s="36">
        <f t="shared" si="2"/>
        <v>20000</v>
      </c>
      <c r="K67" s="238">
        <f t="shared" si="3"/>
        <v>97000</v>
      </c>
      <c r="M67" s="19"/>
      <c r="N67" s="15"/>
      <c r="O67" s="20"/>
      <c r="P67" s="17"/>
      <c r="Q67" s="23">
        <v>55000</v>
      </c>
      <c r="R67" s="20">
        <f t="shared" si="4"/>
        <v>77000</v>
      </c>
      <c r="S67" s="16"/>
      <c r="T67" s="18"/>
      <c r="U67" s="13"/>
    </row>
    <row r="68" spans="1:21">
      <c r="A68" s="32"/>
      <c r="B68" s="31">
        <v>2.8</v>
      </c>
      <c r="C68" s="33"/>
      <c r="D68" s="34" t="s">
        <v>483</v>
      </c>
      <c r="E68" s="30">
        <v>1</v>
      </c>
      <c r="F68" s="22" t="s">
        <v>277</v>
      </c>
      <c r="G68" s="35">
        <f t="shared" si="0"/>
        <v>0</v>
      </c>
      <c r="H68" s="35">
        <f t="shared" si="1"/>
        <v>0</v>
      </c>
      <c r="I68" s="35">
        <v>0</v>
      </c>
      <c r="J68" s="36">
        <f t="shared" si="2"/>
        <v>0</v>
      </c>
      <c r="K68" s="238">
        <f t="shared" si="3"/>
        <v>0</v>
      </c>
      <c r="M68" s="19"/>
      <c r="N68" s="15"/>
      <c r="O68" s="20"/>
      <c r="P68" s="17"/>
      <c r="Q68" s="23">
        <v>0</v>
      </c>
      <c r="R68" s="20">
        <f t="shared" si="4"/>
        <v>0</v>
      </c>
      <c r="S68" s="16"/>
      <c r="T68" s="18"/>
      <c r="U68" s="13"/>
    </row>
    <row r="69" spans="1:21">
      <c r="A69" s="32"/>
      <c r="B69" s="31"/>
      <c r="C69" s="33"/>
      <c r="D69" s="34"/>
      <c r="E69" s="26"/>
      <c r="F69" s="22"/>
      <c r="G69" s="35"/>
      <c r="H69" s="36"/>
      <c r="I69" s="35"/>
      <c r="J69" s="36"/>
      <c r="K69" s="238"/>
      <c r="M69" s="25"/>
      <c r="N69" s="15"/>
      <c r="O69" s="20"/>
      <c r="P69" s="17"/>
      <c r="Q69" s="23"/>
      <c r="R69" s="20"/>
      <c r="S69" s="16"/>
      <c r="T69" s="18"/>
      <c r="U69" s="13"/>
    </row>
    <row r="70" spans="1:21">
      <c r="A70" s="67"/>
      <c r="B70" s="68"/>
      <c r="C70" s="69"/>
      <c r="D70" s="68" t="s">
        <v>13</v>
      </c>
      <c r="E70" s="70"/>
      <c r="F70" s="71"/>
      <c r="G70" s="72"/>
      <c r="H70" s="235">
        <f>H10</f>
        <v>3313539.6</v>
      </c>
      <c r="I70" s="236"/>
      <c r="J70" s="237">
        <f>J10</f>
        <v>1432900</v>
      </c>
      <c r="K70" s="76">
        <f>K10</f>
        <v>4746439.6000000006</v>
      </c>
      <c r="M70" s="6"/>
      <c r="N70" s="7"/>
      <c r="O70" s="2"/>
      <c r="P70" s="8"/>
      <c r="Q70" s="72"/>
      <c r="R70" s="20"/>
      <c r="S70" s="2"/>
      <c r="T70" s="9"/>
      <c r="U70" s="13"/>
    </row>
    <row r="71" spans="1:21">
      <c r="A71" s="67"/>
      <c r="B71" s="68"/>
      <c r="C71" s="69"/>
      <c r="D71" s="77" t="s">
        <v>1445</v>
      </c>
      <c r="E71" s="70"/>
      <c r="F71" s="71"/>
      <c r="G71" s="72"/>
      <c r="H71" s="73"/>
      <c r="I71" s="74"/>
      <c r="J71" s="75"/>
      <c r="K71" s="76">
        <f>K70*10%</f>
        <v>474643.96000000008</v>
      </c>
      <c r="M71" s="6"/>
      <c r="N71" s="7"/>
      <c r="O71" s="2"/>
      <c r="P71" s="8"/>
      <c r="Q71" s="72"/>
      <c r="R71" s="20"/>
      <c r="S71" s="2"/>
      <c r="T71" s="9"/>
      <c r="U71" s="13"/>
    </row>
    <row r="72" spans="1:21" ht="22.5" thickBot="1">
      <c r="A72" s="1823" t="s">
        <v>1446</v>
      </c>
      <c r="B72" s="1824"/>
      <c r="C72" s="1824"/>
      <c r="D72" s="1824"/>
      <c r="E72" s="1824"/>
      <c r="F72" s="1825"/>
      <c r="G72" s="78"/>
      <c r="H72" s="78"/>
      <c r="I72" s="78"/>
      <c r="J72" s="78"/>
      <c r="K72" s="79">
        <f>K70+K71</f>
        <v>5221083.5600000005</v>
      </c>
      <c r="M72" s="13"/>
      <c r="N72" s="13"/>
      <c r="O72" s="13"/>
      <c r="P72" s="18"/>
      <c r="Q72" s="78"/>
      <c r="R72" s="20"/>
      <c r="S72" s="18"/>
      <c r="T72" s="18"/>
      <c r="U72" s="13"/>
    </row>
    <row r="73" spans="1:21">
      <c r="M73" s="13"/>
      <c r="N73" s="13"/>
      <c r="O73" s="13"/>
      <c r="P73" s="13"/>
      <c r="R73" s="13"/>
      <c r="S73" s="13"/>
      <c r="T73" s="13"/>
      <c r="U73" s="13"/>
    </row>
    <row r="74" spans="1:21">
      <c r="M74" s="13"/>
      <c r="N74" s="13"/>
      <c r="O74" s="13"/>
      <c r="P74" s="13"/>
      <c r="R74" s="13"/>
      <c r="S74" s="13"/>
      <c r="T74" s="13"/>
      <c r="U74" s="13"/>
    </row>
    <row r="77" spans="1:21">
      <c r="J77" s="12" t="s">
        <v>502</v>
      </c>
    </row>
  </sheetData>
  <mergeCells count="18">
    <mergeCell ref="T4:T5"/>
    <mergeCell ref="M6:T6"/>
    <mergeCell ref="R7:S7"/>
    <mergeCell ref="T7:T8"/>
    <mergeCell ref="K7:K8"/>
    <mergeCell ref="N7:N9"/>
    <mergeCell ref="O7:P7"/>
    <mergeCell ref="I7:J7"/>
    <mergeCell ref="M7:M9"/>
    <mergeCell ref="A72:F72"/>
    <mergeCell ref="A1:K1"/>
    <mergeCell ref="A2:K2"/>
    <mergeCell ref="A3:K3"/>
    <mergeCell ref="A7:A9"/>
    <mergeCell ref="B7:D9"/>
    <mergeCell ref="E7:E9"/>
    <mergeCell ref="F7:F9"/>
    <mergeCell ref="G7:H7"/>
  </mergeCells>
  <pageMargins left="0.2" right="0.2" top="0.5" bottom="0.5" header="0.3" footer="0.3"/>
  <pageSetup paperSize="8" scale="81" fitToHeight="0" orientation="landscape" r:id="rId1"/>
  <colBreaks count="1" manualBreakCount="1">
    <brk id="11" max="269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54"/>
  <sheetViews>
    <sheetView topLeftCell="A23" zoomScale="85" zoomScaleNormal="85" zoomScaleSheetLayoutView="85" workbookViewId="0">
      <selection activeCell="E44" sqref="E44"/>
    </sheetView>
  </sheetViews>
  <sheetFormatPr defaultColWidth="9.140625" defaultRowHeight="21.75"/>
  <cols>
    <col min="1" max="1" width="6.42578125" style="12" customWidth="1"/>
    <col min="2" max="2" width="5.140625" style="12" customWidth="1"/>
    <col min="3" max="3" width="8" style="28" customWidth="1"/>
    <col min="4" max="4" width="73.7109375" style="12" bestFit="1" customWidth="1"/>
    <col min="5" max="5" width="10.7109375" style="12" customWidth="1"/>
    <col min="6" max="6" width="7.42578125" style="12" customWidth="1"/>
    <col min="7" max="10" width="15.28515625" style="225" customWidth="1"/>
    <col min="11" max="11" width="19" style="225" customWidth="1"/>
    <col min="12" max="12" width="9.7109375" style="12" customWidth="1"/>
    <col min="13" max="13" width="9.85546875" style="12" bestFit="1" customWidth="1"/>
    <col min="14" max="14" width="9.140625" style="12"/>
    <col min="15" max="15" width="12.140625" style="12" customWidth="1"/>
    <col min="16" max="19" width="14.140625" style="12" customWidth="1"/>
    <col min="20" max="16384" width="9.140625" style="12"/>
  </cols>
  <sheetData>
    <row r="1" spans="1:20" s="10" customFormat="1" ht="39" hidden="1" thickBot="1">
      <c r="A1" s="1660" t="s">
        <v>0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2"/>
    </row>
    <row r="2" spans="1:20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5"/>
      <c r="M2" s="11"/>
      <c r="N2" s="11"/>
      <c r="O2" s="11"/>
      <c r="P2" s="11"/>
      <c r="Q2" s="11"/>
      <c r="R2" s="11"/>
      <c r="S2" s="11"/>
      <c r="T2" s="11"/>
    </row>
    <row r="3" spans="1:20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8"/>
      <c r="M3" s="11"/>
      <c r="N3" s="11"/>
      <c r="O3" s="11"/>
      <c r="P3" s="11"/>
      <c r="Q3" s="11"/>
      <c r="R3" s="11"/>
      <c r="S3" s="11"/>
      <c r="T3" s="11"/>
    </row>
    <row r="4" spans="1:20" s="10" customFormat="1" ht="26.25" customHeight="1">
      <c r="A4" s="88" t="s">
        <v>1</v>
      </c>
      <c r="B4" s="89"/>
      <c r="C4" s="90"/>
      <c r="D4" s="89" t="s">
        <v>107</v>
      </c>
      <c r="E4" s="91"/>
      <c r="F4" s="92"/>
      <c r="G4" s="204"/>
      <c r="H4" s="205"/>
      <c r="I4" s="206" t="s">
        <v>108</v>
      </c>
      <c r="J4" s="1840" t="s">
        <v>1477</v>
      </c>
      <c r="K4" s="1841"/>
      <c r="M4" s="11"/>
      <c r="N4" s="11"/>
      <c r="O4" s="11"/>
      <c r="P4" s="11"/>
      <c r="Q4" s="11"/>
      <c r="R4" s="11"/>
      <c r="S4" s="1669"/>
      <c r="T4" s="11"/>
    </row>
    <row r="5" spans="1:20" s="10" customFormat="1" ht="27" customHeight="1">
      <c r="A5" s="93" t="s">
        <v>109</v>
      </c>
      <c r="B5" s="94"/>
      <c r="C5" s="95"/>
      <c r="D5" s="94" t="s">
        <v>1478</v>
      </c>
      <c r="E5" s="96"/>
      <c r="F5" s="97"/>
      <c r="G5" s="207"/>
      <c r="H5" s="208"/>
      <c r="I5" s="206" t="s">
        <v>111</v>
      </c>
      <c r="J5" s="209"/>
      <c r="K5" s="210"/>
      <c r="M5" s="11"/>
      <c r="N5" s="11"/>
      <c r="O5" s="11"/>
      <c r="P5" s="11"/>
      <c r="Q5" s="11"/>
      <c r="R5" s="11"/>
      <c r="S5" s="1669"/>
      <c r="T5" s="11"/>
    </row>
    <row r="6" spans="1:20" s="10" customFormat="1" ht="27" thickBot="1">
      <c r="A6" s="100" t="s">
        <v>3</v>
      </c>
      <c r="B6" s="101"/>
      <c r="C6" s="102"/>
      <c r="D6" s="101" t="s">
        <v>112</v>
      </c>
      <c r="E6" s="103"/>
      <c r="F6" s="104"/>
      <c r="G6" s="211"/>
      <c r="H6" s="212"/>
      <c r="I6" s="213" t="s">
        <v>113</v>
      </c>
      <c r="J6" s="1838" t="s">
        <v>1479</v>
      </c>
      <c r="K6" s="1839"/>
      <c r="M6" s="1670"/>
      <c r="N6" s="1670"/>
      <c r="O6" s="1670"/>
      <c r="P6" s="1670"/>
      <c r="Q6" s="1670"/>
      <c r="R6" s="1670"/>
      <c r="S6" s="1670"/>
      <c r="T6" s="11"/>
    </row>
    <row r="7" spans="1:20" s="28" customFormat="1">
      <c r="A7" s="1687" t="s">
        <v>6</v>
      </c>
      <c r="B7" s="1692" t="s">
        <v>7</v>
      </c>
      <c r="C7" s="1693"/>
      <c r="D7" s="1694"/>
      <c r="E7" s="1699" t="s">
        <v>8</v>
      </c>
      <c r="F7" s="1702" t="s">
        <v>9</v>
      </c>
      <c r="G7" s="1842" t="s">
        <v>10</v>
      </c>
      <c r="H7" s="1843"/>
      <c r="I7" s="1842" t="s">
        <v>11</v>
      </c>
      <c r="J7" s="1843"/>
      <c r="K7" s="1683" t="s">
        <v>13</v>
      </c>
      <c r="M7" s="1822"/>
      <c r="N7" s="1685"/>
      <c r="O7" s="1671"/>
      <c r="P7" s="1671"/>
      <c r="Q7" s="1671"/>
      <c r="R7" s="1671"/>
      <c r="S7" s="1672"/>
      <c r="T7" s="15"/>
    </row>
    <row r="8" spans="1:20" s="28" customFormat="1">
      <c r="A8" s="1687"/>
      <c r="B8" s="1692"/>
      <c r="C8" s="1693"/>
      <c r="D8" s="1694"/>
      <c r="E8" s="1699"/>
      <c r="F8" s="1702"/>
      <c r="G8" s="214" t="s">
        <v>9</v>
      </c>
      <c r="H8" s="215" t="s">
        <v>13</v>
      </c>
      <c r="I8" s="214" t="s">
        <v>9</v>
      </c>
      <c r="J8" s="215" t="s">
        <v>13</v>
      </c>
      <c r="K8" s="1683"/>
      <c r="M8" s="1822"/>
      <c r="N8" s="1685"/>
      <c r="O8" s="1"/>
      <c r="P8" s="3"/>
      <c r="Q8" s="3"/>
      <c r="R8" s="3"/>
      <c r="S8" s="1672"/>
      <c r="T8" s="15"/>
    </row>
    <row r="9" spans="1:20" s="28" customFormat="1">
      <c r="A9" s="1688"/>
      <c r="B9" s="1695"/>
      <c r="C9" s="1696"/>
      <c r="D9" s="1697"/>
      <c r="E9" s="1700"/>
      <c r="F9" s="1703"/>
      <c r="G9" s="216" t="s">
        <v>115</v>
      </c>
      <c r="H9" s="217" t="s">
        <v>14</v>
      </c>
      <c r="I9" s="216" t="s">
        <v>115</v>
      </c>
      <c r="J9" s="217" t="s">
        <v>14</v>
      </c>
      <c r="K9" s="218" t="s">
        <v>14</v>
      </c>
      <c r="M9" s="1822"/>
      <c r="N9" s="1685"/>
      <c r="O9" s="1"/>
      <c r="P9" s="3"/>
      <c r="Q9" s="3"/>
      <c r="R9" s="3"/>
      <c r="S9" s="3"/>
      <c r="T9" s="15"/>
    </row>
    <row r="10" spans="1:20">
      <c r="A10" s="110">
        <v>4</v>
      </c>
      <c r="B10" s="111"/>
      <c r="C10" s="112"/>
      <c r="D10" s="113" t="s">
        <v>278</v>
      </c>
      <c r="E10" s="114"/>
      <c r="F10" s="115"/>
      <c r="G10" s="116"/>
      <c r="H10" s="116">
        <f>SUM(H11:H123)</f>
        <v>1100032.1999999997</v>
      </c>
      <c r="I10" s="116"/>
      <c r="J10" s="116">
        <f>SUM(J11:J123)</f>
        <v>374310</v>
      </c>
      <c r="K10" s="116">
        <f>SUM(K11:K123)</f>
        <v>1474342.2</v>
      </c>
      <c r="M10" s="14"/>
      <c r="N10" s="15"/>
      <c r="O10" s="16"/>
      <c r="P10" s="16"/>
      <c r="Q10" s="16"/>
      <c r="R10" s="16"/>
      <c r="S10" s="16"/>
      <c r="T10" s="13"/>
    </row>
    <row r="11" spans="1:20">
      <c r="A11" s="117"/>
      <c r="B11" s="118">
        <v>4.0999999999999996</v>
      </c>
      <c r="C11" s="119" t="s">
        <v>279</v>
      </c>
      <c r="D11" s="120"/>
      <c r="E11" s="121"/>
      <c r="F11" s="122"/>
      <c r="G11" s="124"/>
      <c r="H11" s="124"/>
      <c r="I11" s="124"/>
      <c r="J11" s="125"/>
      <c r="K11" s="219"/>
      <c r="M11" s="19"/>
      <c r="N11" s="15"/>
      <c r="O11" s="20"/>
      <c r="P11" s="17"/>
      <c r="Q11" s="20"/>
      <c r="R11" s="16"/>
      <c r="S11" s="18"/>
      <c r="T11" s="13"/>
    </row>
    <row r="12" spans="1:20">
      <c r="A12" s="117"/>
      <c r="B12" s="118"/>
      <c r="C12" s="127" t="s">
        <v>428</v>
      </c>
      <c r="D12" s="128" t="s">
        <v>281</v>
      </c>
      <c r="E12" s="121"/>
      <c r="F12" s="122"/>
      <c r="G12" s="124"/>
      <c r="H12" s="124"/>
      <c r="I12" s="124"/>
      <c r="J12" s="125"/>
      <c r="K12" s="219"/>
      <c r="M12" s="19"/>
      <c r="N12" s="15"/>
      <c r="O12" s="20"/>
      <c r="P12" s="17"/>
      <c r="Q12" s="20"/>
      <c r="R12" s="16"/>
      <c r="S12" s="18"/>
      <c r="T12" s="13"/>
    </row>
    <row r="13" spans="1:20">
      <c r="A13" s="117"/>
      <c r="B13" s="118"/>
      <c r="C13" s="129" t="s">
        <v>282</v>
      </c>
      <c r="D13" s="128" t="s">
        <v>283</v>
      </c>
      <c r="E13" s="121">
        <v>1</v>
      </c>
      <c r="F13" s="122" t="s">
        <v>284</v>
      </c>
      <c r="G13" s="124">
        <v>17900</v>
      </c>
      <c r="H13" s="124">
        <f t="shared" ref="H13:H95" si="0">E13*G13</f>
        <v>17900</v>
      </c>
      <c r="I13" s="124">
        <v>550</v>
      </c>
      <c r="J13" s="125">
        <f t="shared" ref="J13:J76" si="1">E13*I13</f>
        <v>550</v>
      </c>
      <c r="K13" s="219">
        <f t="shared" ref="K13:K76" si="2">H13+J13</f>
        <v>18450</v>
      </c>
      <c r="M13" s="19"/>
      <c r="N13" s="15"/>
      <c r="O13" s="20"/>
      <c r="P13" s="17"/>
      <c r="Q13" s="20"/>
      <c r="R13" s="16"/>
      <c r="S13" s="18"/>
      <c r="T13" s="13"/>
    </row>
    <row r="14" spans="1:20">
      <c r="A14" s="117"/>
      <c r="B14" s="118"/>
      <c r="C14" s="129" t="s">
        <v>282</v>
      </c>
      <c r="D14" s="128" t="s">
        <v>1480</v>
      </c>
      <c r="E14" s="121">
        <v>1</v>
      </c>
      <c r="F14" s="122" t="s">
        <v>284</v>
      </c>
      <c r="G14" s="124">
        <v>11530</v>
      </c>
      <c r="H14" s="124">
        <f t="shared" si="0"/>
        <v>11530</v>
      </c>
      <c r="I14" s="124">
        <v>550</v>
      </c>
      <c r="J14" s="125">
        <f t="shared" si="1"/>
        <v>550</v>
      </c>
      <c r="K14" s="219">
        <f t="shared" si="2"/>
        <v>12080</v>
      </c>
      <c r="M14" s="19"/>
      <c r="N14" s="15"/>
      <c r="O14" s="20"/>
      <c r="P14" s="17"/>
      <c r="Q14" s="20"/>
      <c r="R14" s="16"/>
      <c r="S14" s="18"/>
      <c r="T14" s="13"/>
    </row>
    <row r="15" spans="1:20">
      <c r="A15" s="117"/>
      <c r="B15" s="118"/>
      <c r="C15" s="129" t="s">
        <v>282</v>
      </c>
      <c r="D15" s="128" t="s">
        <v>286</v>
      </c>
      <c r="E15" s="121">
        <v>20</v>
      </c>
      <c r="F15" s="122" t="s">
        <v>287</v>
      </c>
      <c r="G15" s="124">
        <v>510</v>
      </c>
      <c r="H15" s="124">
        <f t="shared" si="0"/>
        <v>10200</v>
      </c>
      <c r="I15" s="124">
        <v>55</v>
      </c>
      <c r="J15" s="125">
        <f t="shared" si="1"/>
        <v>1100</v>
      </c>
      <c r="K15" s="219">
        <f t="shared" si="2"/>
        <v>11300</v>
      </c>
      <c r="M15" s="19"/>
      <c r="N15" s="15"/>
      <c r="O15" s="20"/>
      <c r="P15" s="17"/>
      <c r="Q15" s="20"/>
      <c r="R15" s="16"/>
      <c r="S15" s="18"/>
      <c r="T15" s="13"/>
    </row>
    <row r="16" spans="1:20">
      <c r="A16" s="117"/>
      <c r="B16" s="118"/>
      <c r="C16" s="129" t="s">
        <v>282</v>
      </c>
      <c r="D16" s="128" t="s">
        <v>288</v>
      </c>
      <c r="E16" s="121">
        <v>4</v>
      </c>
      <c r="F16" s="122" t="s">
        <v>287</v>
      </c>
      <c r="G16" s="124">
        <v>225</v>
      </c>
      <c r="H16" s="124">
        <f t="shared" si="0"/>
        <v>900</v>
      </c>
      <c r="I16" s="124">
        <v>55</v>
      </c>
      <c r="J16" s="125">
        <f t="shared" si="1"/>
        <v>220</v>
      </c>
      <c r="K16" s="219">
        <f t="shared" si="2"/>
        <v>1120</v>
      </c>
      <c r="M16" s="19"/>
      <c r="N16" s="15"/>
      <c r="O16" s="20"/>
      <c r="P16" s="17"/>
      <c r="Q16" s="20"/>
      <c r="R16" s="16"/>
      <c r="S16" s="18"/>
      <c r="T16" s="13"/>
    </row>
    <row r="17" spans="1:20">
      <c r="A17" s="117"/>
      <c r="B17" s="118"/>
      <c r="C17" s="129" t="s">
        <v>282</v>
      </c>
      <c r="D17" s="128" t="s">
        <v>289</v>
      </c>
      <c r="E17" s="121">
        <v>6</v>
      </c>
      <c r="F17" s="122" t="s">
        <v>287</v>
      </c>
      <c r="G17" s="124">
        <v>225</v>
      </c>
      <c r="H17" s="124">
        <f t="shared" si="0"/>
        <v>1350</v>
      </c>
      <c r="I17" s="124">
        <v>55</v>
      </c>
      <c r="J17" s="125">
        <f t="shared" si="1"/>
        <v>330</v>
      </c>
      <c r="K17" s="219">
        <f t="shared" si="2"/>
        <v>1680</v>
      </c>
      <c r="M17" s="19"/>
      <c r="N17" s="15"/>
      <c r="O17" s="20"/>
      <c r="P17" s="17"/>
      <c r="Q17" s="20"/>
      <c r="R17" s="16"/>
      <c r="S17" s="18"/>
      <c r="T17" s="13"/>
    </row>
    <row r="18" spans="1:20">
      <c r="A18" s="117"/>
      <c r="B18" s="118"/>
      <c r="C18" s="129" t="s">
        <v>282</v>
      </c>
      <c r="D18" s="128" t="s">
        <v>290</v>
      </c>
      <c r="E18" s="121">
        <v>2</v>
      </c>
      <c r="F18" s="122" t="s">
        <v>287</v>
      </c>
      <c r="G18" s="124">
        <v>225</v>
      </c>
      <c r="H18" s="124">
        <f t="shared" si="0"/>
        <v>450</v>
      </c>
      <c r="I18" s="124">
        <v>55</v>
      </c>
      <c r="J18" s="125">
        <f t="shared" si="1"/>
        <v>110</v>
      </c>
      <c r="K18" s="219">
        <f t="shared" si="2"/>
        <v>560</v>
      </c>
      <c r="M18" s="19"/>
      <c r="N18" s="15"/>
      <c r="O18" s="20"/>
      <c r="P18" s="17"/>
      <c r="Q18" s="20"/>
      <c r="R18" s="16"/>
      <c r="S18" s="18"/>
      <c r="T18" s="13"/>
    </row>
    <row r="19" spans="1:20">
      <c r="A19" s="117"/>
      <c r="B19" s="118"/>
      <c r="C19" s="127" t="s">
        <v>431</v>
      </c>
      <c r="D19" s="128" t="s">
        <v>292</v>
      </c>
      <c r="E19" s="121"/>
      <c r="F19" s="122"/>
      <c r="G19" s="124"/>
      <c r="H19" s="124"/>
      <c r="I19" s="124"/>
      <c r="J19" s="125"/>
      <c r="K19" s="219"/>
      <c r="M19" s="19"/>
      <c r="N19" s="15"/>
      <c r="O19" s="20"/>
      <c r="P19" s="17"/>
      <c r="Q19" s="20"/>
      <c r="R19" s="16"/>
      <c r="S19" s="18"/>
      <c r="T19" s="13"/>
    </row>
    <row r="20" spans="1:20">
      <c r="A20" s="117"/>
      <c r="B20" s="118"/>
      <c r="C20" s="129" t="s">
        <v>282</v>
      </c>
      <c r="D20" s="128" t="s">
        <v>1481</v>
      </c>
      <c r="E20" s="121">
        <v>3</v>
      </c>
      <c r="F20" s="122" t="s">
        <v>284</v>
      </c>
      <c r="G20" s="124">
        <v>2600</v>
      </c>
      <c r="H20" s="124">
        <f t="shared" si="0"/>
        <v>7800</v>
      </c>
      <c r="I20" s="124">
        <v>330</v>
      </c>
      <c r="J20" s="125">
        <f t="shared" si="1"/>
        <v>990</v>
      </c>
      <c r="K20" s="219">
        <f t="shared" si="2"/>
        <v>8790</v>
      </c>
      <c r="M20" s="19"/>
      <c r="N20" s="15"/>
      <c r="O20" s="20"/>
      <c r="P20" s="17"/>
      <c r="Q20" s="20"/>
      <c r="R20" s="16"/>
      <c r="S20" s="18"/>
      <c r="T20" s="13"/>
    </row>
    <row r="21" spans="1:20">
      <c r="A21" s="117"/>
      <c r="B21" s="118"/>
      <c r="C21" s="129" t="s">
        <v>282</v>
      </c>
      <c r="D21" s="128" t="s">
        <v>1482</v>
      </c>
      <c r="E21" s="121">
        <v>17</v>
      </c>
      <c r="F21" s="122" t="s">
        <v>284</v>
      </c>
      <c r="G21" s="124">
        <v>0</v>
      </c>
      <c r="H21" s="124">
        <f t="shared" si="0"/>
        <v>0</v>
      </c>
      <c r="I21" s="124">
        <v>330</v>
      </c>
      <c r="J21" s="125">
        <f t="shared" si="1"/>
        <v>5610</v>
      </c>
      <c r="K21" s="219">
        <f t="shared" si="2"/>
        <v>5610</v>
      </c>
      <c r="M21" s="19"/>
      <c r="N21" s="15"/>
      <c r="O21" s="20"/>
      <c r="P21" s="17"/>
      <c r="Q21" s="20"/>
      <c r="R21" s="16"/>
      <c r="S21" s="18"/>
      <c r="T21" s="13"/>
    </row>
    <row r="22" spans="1:20">
      <c r="A22" s="117"/>
      <c r="B22" s="118"/>
      <c r="C22" s="129" t="s">
        <v>282</v>
      </c>
      <c r="D22" s="128" t="s">
        <v>1483</v>
      </c>
      <c r="E22" s="121">
        <v>20</v>
      </c>
      <c r="F22" s="122" t="s">
        <v>284</v>
      </c>
      <c r="G22" s="124">
        <v>1450</v>
      </c>
      <c r="H22" s="124">
        <f t="shared" si="0"/>
        <v>29000</v>
      </c>
      <c r="I22" s="124">
        <v>110</v>
      </c>
      <c r="J22" s="125">
        <f t="shared" si="1"/>
        <v>2200</v>
      </c>
      <c r="K22" s="219">
        <f t="shared" si="2"/>
        <v>31200</v>
      </c>
      <c r="M22" s="19"/>
      <c r="N22" s="15"/>
      <c r="O22" s="20"/>
      <c r="P22" s="17"/>
      <c r="Q22" s="20"/>
      <c r="R22" s="16"/>
      <c r="S22" s="18"/>
      <c r="T22" s="13"/>
    </row>
    <row r="23" spans="1:20">
      <c r="A23" s="117"/>
      <c r="B23" s="118"/>
      <c r="C23" s="129" t="s">
        <v>282</v>
      </c>
      <c r="D23" s="128" t="s">
        <v>1484</v>
      </c>
      <c r="E23" s="121">
        <v>20</v>
      </c>
      <c r="F23" s="122" t="s">
        <v>287</v>
      </c>
      <c r="G23" s="124">
        <v>2190</v>
      </c>
      <c r="H23" s="124">
        <f t="shared" si="0"/>
        <v>43800</v>
      </c>
      <c r="I23" s="124">
        <v>55</v>
      </c>
      <c r="J23" s="125">
        <f t="shared" si="1"/>
        <v>1100</v>
      </c>
      <c r="K23" s="219">
        <f t="shared" si="2"/>
        <v>44900</v>
      </c>
      <c r="M23" s="19"/>
      <c r="N23" s="15"/>
      <c r="O23" s="20"/>
      <c r="P23" s="17"/>
      <c r="Q23" s="20"/>
      <c r="R23" s="16"/>
      <c r="S23" s="18"/>
      <c r="T23" s="13"/>
    </row>
    <row r="24" spans="1:20">
      <c r="A24" s="117"/>
      <c r="B24" s="118"/>
      <c r="C24" s="129" t="s">
        <v>282</v>
      </c>
      <c r="D24" s="128" t="s">
        <v>1485</v>
      </c>
      <c r="E24" s="121">
        <v>40</v>
      </c>
      <c r="F24" s="122" t="s">
        <v>287</v>
      </c>
      <c r="G24" s="124">
        <v>225</v>
      </c>
      <c r="H24" s="124">
        <f t="shared" si="0"/>
        <v>9000</v>
      </c>
      <c r="I24" s="124">
        <v>55</v>
      </c>
      <c r="J24" s="125">
        <f t="shared" si="1"/>
        <v>2200</v>
      </c>
      <c r="K24" s="219">
        <f t="shared" si="2"/>
        <v>11200</v>
      </c>
      <c r="M24" s="19"/>
      <c r="N24" s="15"/>
      <c r="O24" s="20"/>
      <c r="P24" s="17"/>
      <c r="Q24" s="20"/>
      <c r="R24" s="16"/>
      <c r="S24" s="18"/>
      <c r="T24" s="13"/>
    </row>
    <row r="25" spans="1:20">
      <c r="A25" s="117"/>
      <c r="B25" s="118"/>
      <c r="C25" s="129" t="s">
        <v>282</v>
      </c>
      <c r="D25" s="128" t="s">
        <v>1486</v>
      </c>
      <c r="E25" s="121">
        <v>20</v>
      </c>
      <c r="F25" s="122" t="s">
        <v>287</v>
      </c>
      <c r="G25" s="124">
        <v>225</v>
      </c>
      <c r="H25" s="124">
        <f t="shared" si="0"/>
        <v>4500</v>
      </c>
      <c r="I25" s="124">
        <v>55</v>
      </c>
      <c r="J25" s="125">
        <f t="shared" si="1"/>
        <v>1100</v>
      </c>
      <c r="K25" s="219">
        <f t="shared" si="2"/>
        <v>5600</v>
      </c>
      <c r="M25" s="19"/>
      <c r="N25" s="15"/>
      <c r="O25" s="20"/>
      <c r="P25" s="17"/>
      <c r="Q25" s="20"/>
      <c r="R25" s="16"/>
      <c r="S25" s="18"/>
      <c r="T25" s="13"/>
    </row>
    <row r="26" spans="1:20">
      <c r="A26" s="117"/>
      <c r="B26" s="118"/>
      <c r="C26" s="127" t="s">
        <v>701</v>
      </c>
      <c r="D26" s="12" t="s">
        <v>298</v>
      </c>
      <c r="E26" s="121"/>
      <c r="F26" s="122"/>
      <c r="G26" s="124"/>
      <c r="H26" s="124"/>
      <c r="I26" s="124"/>
      <c r="J26" s="125"/>
      <c r="K26" s="219"/>
      <c r="M26" s="19"/>
      <c r="N26" s="15"/>
      <c r="O26" s="20"/>
      <c r="P26" s="17"/>
      <c r="Q26" s="20"/>
      <c r="R26" s="16"/>
      <c r="S26" s="18"/>
      <c r="T26" s="13"/>
    </row>
    <row r="27" spans="1:20">
      <c r="A27" s="117"/>
      <c r="B27" s="118"/>
      <c r="C27" s="129" t="s">
        <v>282</v>
      </c>
      <c r="D27" s="128" t="s">
        <v>298</v>
      </c>
      <c r="E27" s="121">
        <v>532</v>
      </c>
      <c r="F27" s="122" t="s">
        <v>287</v>
      </c>
      <c r="G27" s="124">
        <v>32</v>
      </c>
      <c r="H27" s="124">
        <f t="shared" si="0"/>
        <v>17024</v>
      </c>
      <c r="I27" s="124">
        <v>55</v>
      </c>
      <c r="J27" s="125">
        <f t="shared" si="1"/>
        <v>29260</v>
      </c>
      <c r="K27" s="219">
        <f t="shared" si="2"/>
        <v>46284</v>
      </c>
      <c r="M27" s="19"/>
      <c r="N27" s="15"/>
      <c r="O27" s="20"/>
      <c r="P27" s="17"/>
      <c r="Q27" s="20"/>
      <c r="R27" s="16"/>
      <c r="S27" s="18"/>
      <c r="T27" s="13"/>
    </row>
    <row r="28" spans="1:20">
      <c r="A28" s="117"/>
      <c r="B28" s="118"/>
      <c r="C28" s="129" t="s">
        <v>282</v>
      </c>
      <c r="D28" s="128" t="s">
        <v>299</v>
      </c>
      <c r="E28" s="121">
        <v>20</v>
      </c>
      <c r="F28" s="122" t="s">
        <v>287</v>
      </c>
      <c r="G28" s="124">
        <v>57</v>
      </c>
      <c r="H28" s="124">
        <f t="shared" si="0"/>
        <v>1140</v>
      </c>
      <c r="I28" s="124">
        <v>55</v>
      </c>
      <c r="J28" s="125">
        <f t="shared" si="1"/>
        <v>1100</v>
      </c>
      <c r="K28" s="219">
        <f t="shared" si="2"/>
        <v>2240</v>
      </c>
      <c r="M28" s="19"/>
      <c r="N28" s="15"/>
      <c r="O28" s="20"/>
      <c r="P28" s="17"/>
      <c r="Q28" s="20"/>
      <c r="R28" s="16"/>
      <c r="S28" s="18"/>
      <c r="T28" s="13"/>
    </row>
    <row r="29" spans="1:20">
      <c r="A29" s="117"/>
      <c r="B29" s="118"/>
      <c r="C29" s="127" t="s">
        <v>703</v>
      </c>
      <c r="D29" s="128" t="s">
        <v>301</v>
      </c>
      <c r="E29" s="121"/>
      <c r="F29" s="122"/>
      <c r="G29" s="124"/>
      <c r="H29" s="124"/>
      <c r="I29" s="124"/>
      <c r="J29" s="125"/>
      <c r="K29" s="219"/>
      <c r="M29" s="19"/>
      <c r="N29" s="15"/>
      <c r="O29" s="20"/>
      <c r="P29" s="17"/>
      <c r="Q29" s="20"/>
      <c r="R29" s="16"/>
      <c r="S29" s="18"/>
      <c r="T29" s="13"/>
    </row>
    <row r="30" spans="1:20">
      <c r="A30" s="117"/>
      <c r="B30" s="118"/>
      <c r="C30" s="129" t="s">
        <v>282</v>
      </c>
      <c r="D30" s="128" t="s">
        <v>1487</v>
      </c>
      <c r="E30" s="121">
        <v>3</v>
      </c>
      <c r="F30" s="122" t="s">
        <v>284</v>
      </c>
      <c r="G30" s="124">
        <v>2000</v>
      </c>
      <c r="H30" s="124">
        <f t="shared" ref="H30" si="3">E30*G30</f>
        <v>6000</v>
      </c>
      <c r="I30" s="124">
        <v>240</v>
      </c>
      <c r="J30" s="125">
        <f t="shared" ref="J30" si="4">E30*I30</f>
        <v>720</v>
      </c>
      <c r="K30" s="219">
        <f t="shared" ref="K30" si="5">H30+J30</f>
        <v>6720</v>
      </c>
      <c r="M30" s="19"/>
      <c r="N30" s="15"/>
      <c r="O30" s="20"/>
      <c r="P30" s="17"/>
      <c r="Q30" s="20"/>
      <c r="R30" s="16"/>
      <c r="S30" s="18"/>
      <c r="T30" s="13"/>
    </row>
    <row r="31" spans="1:20">
      <c r="A31" s="117"/>
      <c r="B31" s="118"/>
      <c r="C31" s="129" t="s">
        <v>282</v>
      </c>
      <c r="D31" s="128" t="s">
        <v>1488</v>
      </c>
      <c r="E31" s="121">
        <v>17</v>
      </c>
      <c r="F31" s="122" t="s">
        <v>284</v>
      </c>
      <c r="G31" s="124">
        <v>0</v>
      </c>
      <c r="H31" s="124">
        <f t="shared" si="0"/>
        <v>0</v>
      </c>
      <c r="I31" s="124">
        <v>240</v>
      </c>
      <c r="J31" s="125">
        <f t="shared" si="1"/>
        <v>4080</v>
      </c>
      <c r="K31" s="219">
        <f t="shared" si="2"/>
        <v>4080</v>
      </c>
      <c r="M31" s="19"/>
      <c r="N31" s="15"/>
      <c r="O31" s="20"/>
      <c r="P31" s="17"/>
      <c r="Q31" s="20"/>
      <c r="R31" s="16"/>
      <c r="S31" s="18"/>
      <c r="T31" s="13"/>
    </row>
    <row r="32" spans="1:20">
      <c r="A32" s="117"/>
      <c r="B32" s="118"/>
      <c r="C32" s="129"/>
      <c r="D32" s="128"/>
      <c r="E32" s="121"/>
      <c r="F32" s="122"/>
      <c r="G32" s="124"/>
      <c r="H32" s="124"/>
      <c r="I32" s="124"/>
      <c r="J32" s="125"/>
      <c r="K32" s="219"/>
      <c r="M32" s="19"/>
      <c r="N32" s="15"/>
      <c r="O32" s="20"/>
      <c r="P32" s="17"/>
      <c r="Q32" s="20"/>
      <c r="R32" s="16"/>
      <c r="S32" s="18"/>
      <c r="T32" s="13"/>
    </row>
    <row r="33" spans="1:21">
      <c r="A33" s="117"/>
      <c r="B33" s="118">
        <v>4.2</v>
      </c>
      <c r="C33" s="119" t="s">
        <v>304</v>
      </c>
      <c r="D33" s="128"/>
      <c r="E33" s="121"/>
      <c r="F33" s="122"/>
      <c r="G33" s="124"/>
      <c r="H33" s="124"/>
      <c r="I33" s="124"/>
      <c r="J33" s="125"/>
      <c r="K33" s="219"/>
      <c r="M33" s="19"/>
      <c r="N33" s="15"/>
      <c r="O33" s="20"/>
      <c r="P33" s="17"/>
      <c r="Q33" s="20"/>
      <c r="R33" s="16"/>
      <c r="S33" s="18"/>
      <c r="T33" s="13"/>
    </row>
    <row r="34" spans="1:21">
      <c r="A34" s="117"/>
      <c r="B34" s="118"/>
      <c r="C34" s="127" t="s">
        <v>436</v>
      </c>
      <c r="D34" s="128" t="s">
        <v>1489</v>
      </c>
      <c r="E34" s="121"/>
      <c r="F34" s="122"/>
      <c r="G34" s="124"/>
      <c r="H34" s="124"/>
      <c r="I34" s="124"/>
      <c r="J34" s="125"/>
      <c r="K34" s="219"/>
      <c r="M34" s="19"/>
      <c r="N34" s="15"/>
      <c r="O34" s="20"/>
      <c r="P34" s="17"/>
      <c r="Q34" s="20"/>
      <c r="R34" s="16"/>
      <c r="S34" s="18"/>
      <c r="T34" s="13"/>
    </row>
    <row r="35" spans="1:21">
      <c r="A35" s="117"/>
      <c r="B35" s="118"/>
      <c r="C35" s="129" t="s">
        <v>282</v>
      </c>
      <c r="D35" s="128" t="s">
        <v>307</v>
      </c>
      <c r="E35" s="121">
        <v>2375</v>
      </c>
      <c r="F35" s="122" t="s">
        <v>104</v>
      </c>
      <c r="G35" s="124">
        <v>12.1</v>
      </c>
      <c r="H35" s="124">
        <f t="shared" si="0"/>
        <v>28737.5</v>
      </c>
      <c r="I35" s="124">
        <v>6</v>
      </c>
      <c r="J35" s="125">
        <f t="shared" si="1"/>
        <v>14250</v>
      </c>
      <c r="K35" s="219">
        <f t="shared" si="2"/>
        <v>42987.5</v>
      </c>
      <c r="M35" s="19"/>
      <c r="N35" s="15"/>
      <c r="O35" s="20"/>
      <c r="P35" s="17"/>
      <c r="Q35" s="20"/>
      <c r="R35" s="16"/>
      <c r="S35" s="18"/>
      <c r="T35" s="13"/>
    </row>
    <row r="36" spans="1:21">
      <c r="A36" s="117"/>
      <c r="B36" s="118"/>
      <c r="C36" s="129" t="s">
        <v>282</v>
      </c>
      <c r="D36" s="128" t="s">
        <v>308</v>
      </c>
      <c r="E36" s="121">
        <v>10947</v>
      </c>
      <c r="F36" s="122" t="s">
        <v>104</v>
      </c>
      <c r="G36" s="124">
        <v>18.7</v>
      </c>
      <c r="H36" s="124">
        <f t="shared" si="0"/>
        <v>204708.9</v>
      </c>
      <c r="I36" s="35">
        <v>8</v>
      </c>
      <c r="J36" s="125">
        <f t="shared" si="1"/>
        <v>87576</v>
      </c>
      <c r="K36" s="219">
        <f t="shared" si="2"/>
        <v>292284.90000000002</v>
      </c>
      <c r="M36" s="19"/>
      <c r="N36" s="15"/>
      <c r="O36" s="20"/>
      <c r="P36" s="17"/>
      <c r="Q36" s="20"/>
      <c r="R36" s="16"/>
      <c r="S36" s="18"/>
      <c r="T36" s="13"/>
      <c r="U36" s="24"/>
    </row>
    <row r="37" spans="1:21">
      <c r="A37" s="117"/>
      <c r="B37" s="118"/>
      <c r="C37" s="129" t="s">
        <v>282</v>
      </c>
      <c r="D37" s="128" t="s">
        <v>309</v>
      </c>
      <c r="E37" s="121">
        <v>140</v>
      </c>
      <c r="F37" s="122" t="s">
        <v>104</v>
      </c>
      <c r="G37" s="124">
        <v>30</v>
      </c>
      <c r="H37" s="124">
        <f t="shared" si="0"/>
        <v>4200</v>
      </c>
      <c r="I37" s="124">
        <v>13</v>
      </c>
      <c r="J37" s="125">
        <f t="shared" si="1"/>
        <v>1820</v>
      </c>
      <c r="K37" s="219">
        <f t="shared" si="2"/>
        <v>6020</v>
      </c>
      <c r="M37" s="19"/>
      <c r="N37" s="15"/>
      <c r="O37" s="20"/>
      <c r="P37" s="17"/>
      <c r="Q37" s="20"/>
      <c r="R37" s="16"/>
      <c r="S37" s="18"/>
      <c r="T37" s="13"/>
    </row>
    <row r="38" spans="1:21">
      <c r="A38" s="117"/>
      <c r="B38" s="118"/>
      <c r="C38" s="129" t="s">
        <v>282</v>
      </c>
      <c r="D38" s="128" t="s">
        <v>310</v>
      </c>
      <c r="E38" s="121">
        <v>1800</v>
      </c>
      <c r="F38" s="122" t="s">
        <v>104</v>
      </c>
      <c r="G38" s="124">
        <v>49.3</v>
      </c>
      <c r="H38" s="124">
        <f t="shared" si="0"/>
        <v>88740</v>
      </c>
      <c r="I38" s="124">
        <v>23</v>
      </c>
      <c r="J38" s="125">
        <f t="shared" si="1"/>
        <v>41400</v>
      </c>
      <c r="K38" s="219">
        <f t="shared" si="2"/>
        <v>130140</v>
      </c>
      <c r="M38" s="19"/>
      <c r="N38" s="15"/>
      <c r="O38" s="20"/>
      <c r="P38" s="17"/>
      <c r="Q38" s="20"/>
      <c r="R38" s="16"/>
      <c r="S38" s="18"/>
      <c r="T38" s="13"/>
    </row>
    <row r="39" spans="1:21">
      <c r="A39" s="117"/>
      <c r="B39" s="118"/>
      <c r="C39" s="129" t="s">
        <v>282</v>
      </c>
      <c r="D39" s="128" t="s">
        <v>311</v>
      </c>
      <c r="E39" s="121">
        <v>30</v>
      </c>
      <c r="F39" s="122" t="s">
        <v>104</v>
      </c>
      <c r="G39" s="124">
        <v>171</v>
      </c>
      <c r="H39" s="124">
        <f t="shared" si="0"/>
        <v>5130</v>
      </c>
      <c r="I39" s="124">
        <v>30</v>
      </c>
      <c r="J39" s="125">
        <f t="shared" si="1"/>
        <v>900</v>
      </c>
      <c r="K39" s="219">
        <f t="shared" si="2"/>
        <v>6030</v>
      </c>
      <c r="M39" s="19"/>
      <c r="N39" s="15"/>
      <c r="O39" s="20"/>
      <c r="P39" s="17"/>
      <c r="Q39" s="20"/>
      <c r="R39" s="16"/>
      <c r="S39" s="18"/>
      <c r="T39" s="13"/>
    </row>
    <row r="40" spans="1:21">
      <c r="A40" s="117"/>
      <c r="B40" s="118"/>
      <c r="C40" s="127" t="s">
        <v>439</v>
      </c>
      <c r="D40" s="128" t="s">
        <v>1490</v>
      </c>
      <c r="E40" s="121"/>
      <c r="F40" s="122"/>
      <c r="G40" s="124"/>
      <c r="H40" s="124"/>
      <c r="I40" s="124"/>
      <c r="J40" s="125"/>
      <c r="K40" s="219"/>
      <c r="M40" s="19"/>
      <c r="N40" s="15"/>
      <c r="O40" s="20"/>
      <c r="P40" s="17"/>
      <c r="Q40" s="20"/>
      <c r="R40" s="16"/>
      <c r="S40" s="18"/>
      <c r="T40" s="13"/>
    </row>
    <row r="41" spans="1:21">
      <c r="A41" s="117"/>
      <c r="B41" s="118"/>
      <c r="C41" s="129" t="s">
        <v>282</v>
      </c>
      <c r="D41" s="128" t="s">
        <v>314</v>
      </c>
      <c r="E41" s="121">
        <v>220</v>
      </c>
      <c r="F41" s="122" t="s">
        <v>104</v>
      </c>
      <c r="G41" s="124">
        <v>593.4</v>
      </c>
      <c r="H41" s="124">
        <f t="shared" si="0"/>
        <v>130548</v>
      </c>
      <c r="I41" s="124">
        <v>65</v>
      </c>
      <c r="J41" s="125">
        <f t="shared" si="1"/>
        <v>14300</v>
      </c>
      <c r="K41" s="219">
        <f t="shared" si="2"/>
        <v>144848</v>
      </c>
      <c r="M41" s="19"/>
      <c r="N41" s="15"/>
      <c r="O41" s="20"/>
      <c r="P41" s="17"/>
      <c r="Q41" s="20"/>
      <c r="R41" s="16"/>
      <c r="S41" s="18"/>
      <c r="T41" s="13"/>
    </row>
    <row r="42" spans="1:21">
      <c r="A42" s="117"/>
      <c r="B42" s="118">
        <v>4.3</v>
      </c>
      <c r="C42" s="127" t="s">
        <v>315</v>
      </c>
      <c r="D42" s="128"/>
      <c r="E42" s="121"/>
      <c r="F42" s="122"/>
      <c r="G42" s="124"/>
      <c r="H42" s="124"/>
      <c r="I42" s="124"/>
      <c r="J42" s="125"/>
      <c r="K42" s="219"/>
      <c r="M42" s="19"/>
      <c r="N42" s="15"/>
      <c r="O42" s="20"/>
      <c r="P42" s="17"/>
      <c r="Q42" s="20"/>
      <c r="R42" s="16"/>
      <c r="S42" s="18"/>
      <c r="T42" s="13"/>
    </row>
    <row r="43" spans="1:21">
      <c r="A43" s="117"/>
      <c r="B43" s="118"/>
      <c r="C43" s="127" t="s">
        <v>446</v>
      </c>
      <c r="D43" s="128" t="s">
        <v>317</v>
      </c>
      <c r="E43" s="121"/>
      <c r="F43" s="122"/>
      <c r="G43" s="124"/>
      <c r="H43" s="124"/>
      <c r="I43" s="124"/>
      <c r="J43" s="125"/>
      <c r="K43" s="219"/>
      <c r="M43" s="19"/>
      <c r="N43" s="15"/>
      <c r="O43" s="20"/>
      <c r="P43" s="17"/>
      <c r="Q43" s="20"/>
      <c r="R43" s="16"/>
      <c r="S43" s="18"/>
      <c r="T43" s="13"/>
    </row>
    <row r="44" spans="1:21">
      <c r="A44" s="117"/>
      <c r="B44" s="118"/>
      <c r="C44" s="129" t="s">
        <v>282</v>
      </c>
      <c r="D44" s="128" t="s">
        <v>318</v>
      </c>
      <c r="E44" s="121">
        <v>1844</v>
      </c>
      <c r="F44" s="122" t="s">
        <v>104</v>
      </c>
      <c r="G44" s="124">
        <v>44.3</v>
      </c>
      <c r="H44" s="124">
        <f t="shared" si="0"/>
        <v>81689.2</v>
      </c>
      <c r="I44" s="124">
        <v>18</v>
      </c>
      <c r="J44" s="125">
        <f t="shared" si="1"/>
        <v>33192</v>
      </c>
      <c r="K44" s="219">
        <f t="shared" si="2"/>
        <v>114881.2</v>
      </c>
      <c r="M44" s="19"/>
      <c r="N44" s="15"/>
      <c r="O44" s="20"/>
      <c r="P44" s="17"/>
      <c r="Q44" s="20"/>
      <c r="R44" s="16"/>
      <c r="S44" s="18"/>
      <c r="T44" s="13"/>
    </row>
    <row r="45" spans="1:21">
      <c r="A45" s="117"/>
      <c r="B45" s="118"/>
      <c r="C45" s="129" t="s">
        <v>282</v>
      </c>
      <c r="D45" s="128" t="s">
        <v>319</v>
      </c>
      <c r="E45" s="121">
        <v>80</v>
      </c>
      <c r="F45" s="122" t="s">
        <v>104</v>
      </c>
      <c r="G45" s="124">
        <v>64</v>
      </c>
      <c r="H45" s="124">
        <f t="shared" si="0"/>
        <v>5120</v>
      </c>
      <c r="I45" s="124">
        <v>26</v>
      </c>
      <c r="J45" s="125">
        <f t="shared" si="1"/>
        <v>2080</v>
      </c>
      <c r="K45" s="219">
        <f t="shared" si="2"/>
        <v>7200</v>
      </c>
      <c r="M45" s="19"/>
      <c r="N45" s="15"/>
      <c r="O45" s="20"/>
      <c r="P45" s="17"/>
      <c r="Q45" s="20"/>
      <c r="R45" s="16"/>
      <c r="S45" s="18"/>
      <c r="T45" s="13"/>
    </row>
    <row r="46" spans="1:21">
      <c r="A46" s="117"/>
      <c r="B46" s="118"/>
      <c r="C46" s="127" t="s">
        <v>446</v>
      </c>
      <c r="D46" s="128" t="s">
        <v>321</v>
      </c>
      <c r="E46" s="121"/>
      <c r="F46" s="122"/>
      <c r="G46" s="124"/>
      <c r="H46" s="124"/>
      <c r="I46" s="124"/>
      <c r="J46" s="125"/>
      <c r="K46" s="219"/>
      <c r="M46" s="19"/>
      <c r="N46" s="15"/>
      <c r="O46" s="20"/>
      <c r="P46" s="17"/>
      <c r="Q46" s="20"/>
      <c r="R46" s="16"/>
      <c r="S46" s="18"/>
      <c r="T46" s="13"/>
    </row>
    <row r="47" spans="1:21">
      <c r="A47" s="117"/>
      <c r="B47" s="118"/>
      <c r="C47" s="129" t="s">
        <v>282</v>
      </c>
      <c r="D47" s="128" t="s">
        <v>322</v>
      </c>
      <c r="E47" s="121">
        <v>17</v>
      </c>
      <c r="F47" s="122" t="s">
        <v>104</v>
      </c>
      <c r="G47" s="124">
        <v>365.3</v>
      </c>
      <c r="H47" s="124">
        <f t="shared" si="0"/>
        <v>6210.1</v>
      </c>
      <c r="I47" s="124">
        <v>91</v>
      </c>
      <c r="J47" s="125">
        <f t="shared" si="1"/>
        <v>1547</v>
      </c>
      <c r="K47" s="219">
        <f t="shared" si="2"/>
        <v>7757.1</v>
      </c>
      <c r="M47" s="19"/>
      <c r="N47" s="15"/>
      <c r="O47" s="20"/>
      <c r="P47" s="17"/>
      <c r="Q47" s="20"/>
      <c r="R47" s="16"/>
      <c r="S47" s="18"/>
      <c r="T47" s="13"/>
    </row>
    <row r="48" spans="1:21">
      <c r="A48" s="117"/>
      <c r="B48" s="118"/>
      <c r="C48" s="129" t="s">
        <v>282</v>
      </c>
      <c r="D48" s="128" t="s">
        <v>323</v>
      </c>
      <c r="E48" s="121">
        <v>9</v>
      </c>
      <c r="F48" s="122" t="s">
        <v>104</v>
      </c>
      <c r="G48" s="124">
        <v>934</v>
      </c>
      <c r="H48" s="124">
        <f t="shared" si="0"/>
        <v>8406</v>
      </c>
      <c r="I48" s="124">
        <v>195</v>
      </c>
      <c r="J48" s="125">
        <f t="shared" si="1"/>
        <v>1755</v>
      </c>
      <c r="K48" s="219">
        <f t="shared" si="2"/>
        <v>10161</v>
      </c>
      <c r="M48" s="19"/>
      <c r="N48" s="15"/>
      <c r="O48" s="20"/>
      <c r="P48" s="17"/>
      <c r="Q48" s="20"/>
      <c r="R48" s="16"/>
      <c r="S48" s="18"/>
      <c r="T48" s="13"/>
    </row>
    <row r="49" spans="1:20">
      <c r="A49" s="117"/>
      <c r="B49" s="118"/>
      <c r="C49" s="127" t="s">
        <v>448</v>
      </c>
      <c r="D49" s="128" t="s">
        <v>325</v>
      </c>
      <c r="E49" s="121"/>
      <c r="F49" s="122"/>
      <c r="G49" s="124"/>
      <c r="H49" s="124"/>
      <c r="I49" s="124"/>
      <c r="J49" s="125"/>
      <c r="K49" s="219"/>
      <c r="M49" s="19"/>
      <c r="N49" s="15"/>
      <c r="O49" s="20"/>
      <c r="P49" s="17"/>
      <c r="Q49" s="20"/>
      <c r="R49" s="16"/>
      <c r="S49" s="18"/>
      <c r="T49" s="13"/>
    </row>
    <row r="50" spans="1:20">
      <c r="A50" s="117"/>
      <c r="B50" s="118"/>
      <c r="C50" s="129" t="s">
        <v>282</v>
      </c>
      <c r="D50" s="128" t="s">
        <v>326</v>
      </c>
      <c r="E50" s="121">
        <v>10</v>
      </c>
      <c r="F50" s="122" t="s">
        <v>104</v>
      </c>
      <c r="G50" s="124">
        <v>18</v>
      </c>
      <c r="H50" s="124">
        <f t="shared" si="0"/>
        <v>180</v>
      </c>
      <c r="I50" s="124">
        <v>10</v>
      </c>
      <c r="J50" s="125">
        <f t="shared" si="1"/>
        <v>100</v>
      </c>
      <c r="K50" s="219">
        <f t="shared" si="2"/>
        <v>280</v>
      </c>
      <c r="M50" s="19"/>
      <c r="N50" s="15"/>
      <c r="O50" s="20"/>
      <c r="P50" s="17"/>
      <c r="Q50" s="20"/>
      <c r="R50" s="16"/>
      <c r="S50" s="18"/>
      <c r="T50" s="13"/>
    </row>
    <row r="51" spans="1:20">
      <c r="A51" s="117"/>
      <c r="B51" s="118"/>
      <c r="C51" s="127" t="s">
        <v>1491</v>
      </c>
      <c r="D51" s="128" t="s">
        <v>328</v>
      </c>
      <c r="E51" s="121"/>
      <c r="F51" s="122"/>
      <c r="G51" s="124"/>
      <c r="H51" s="124"/>
      <c r="I51" s="124"/>
      <c r="J51" s="125"/>
      <c r="K51" s="219"/>
      <c r="M51" s="19"/>
      <c r="N51" s="15"/>
      <c r="O51" s="20"/>
      <c r="P51" s="17"/>
      <c r="Q51" s="20"/>
      <c r="R51" s="16"/>
      <c r="S51" s="18"/>
      <c r="T51" s="13"/>
    </row>
    <row r="52" spans="1:20">
      <c r="A52" s="117"/>
      <c r="B52" s="118"/>
      <c r="C52" s="129" t="s">
        <v>282</v>
      </c>
      <c r="D52" s="128" t="s">
        <v>329</v>
      </c>
      <c r="E52" s="121">
        <v>60</v>
      </c>
      <c r="F52" s="122" t="s">
        <v>104</v>
      </c>
      <c r="G52" s="124">
        <v>550</v>
      </c>
      <c r="H52" s="124">
        <f t="shared" si="0"/>
        <v>33000</v>
      </c>
      <c r="I52" s="124">
        <v>75</v>
      </c>
      <c r="J52" s="125">
        <f t="shared" si="1"/>
        <v>4500</v>
      </c>
      <c r="K52" s="219">
        <f t="shared" si="2"/>
        <v>37500</v>
      </c>
      <c r="M52" s="19"/>
      <c r="N52" s="15"/>
      <c r="O52" s="20"/>
      <c r="P52" s="17"/>
      <c r="Q52" s="20"/>
      <c r="R52" s="16"/>
      <c r="S52" s="18"/>
      <c r="T52" s="13"/>
    </row>
    <row r="53" spans="1:20">
      <c r="A53" s="117"/>
      <c r="B53" s="118"/>
      <c r="C53" s="129" t="s">
        <v>282</v>
      </c>
      <c r="D53" s="128" t="s">
        <v>330</v>
      </c>
      <c r="E53" s="121">
        <v>63</v>
      </c>
      <c r="F53" s="122" t="s">
        <v>104</v>
      </c>
      <c r="G53" s="124">
        <v>673</v>
      </c>
      <c r="H53" s="124">
        <f t="shared" si="0"/>
        <v>42399</v>
      </c>
      <c r="I53" s="124">
        <v>100</v>
      </c>
      <c r="J53" s="125">
        <f t="shared" si="1"/>
        <v>6300</v>
      </c>
      <c r="K53" s="219">
        <f t="shared" si="2"/>
        <v>48699</v>
      </c>
      <c r="M53" s="19"/>
      <c r="N53" s="15"/>
      <c r="O53" s="20"/>
      <c r="P53" s="17"/>
      <c r="Q53" s="20"/>
      <c r="R53" s="16"/>
      <c r="S53" s="18"/>
      <c r="T53" s="13"/>
    </row>
    <row r="54" spans="1:20">
      <c r="A54" s="117"/>
      <c r="B54" s="118"/>
      <c r="C54" s="127" t="s">
        <v>1492</v>
      </c>
      <c r="D54" s="128" t="s">
        <v>332</v>
      </c>
      <c r="E54" s="121"/>
      <c r="F54" s="122"/>
      <c r="G54" s="124"/>
      <c r="H54" s="124"/>
      <c r="I54" s="124"/>
      <c r="J54" s="125"/>
      <c r="K54" s="219"/>
      <c r="M54" s="19"/>
      <c r="N54" s="15"/>
      <c r="O54" s="20"/>
      <c r="P54" s="17"/>
      <c r="Q54" s="20"/>
      <c r="R54" s="16"/>
      <c r="S54" s="18"/>
      <c r="T54" s="13"/>
    </row>
    <row r="55" spans="1:20">
      <c r="A55" s="117"/>
      <c r="B55" s="118"/>
      <c r="C55" s="129" t="s">
        <v>282</v>
      </c>
      <c r="D55" s="128" t="s">
        <v>318</v>
      </c>
      <c r="E55" s="121">
        <v>160</v>
      </c>
      <c r="F55" s="122" t="s">
        <v>104</v>
      </c>
      <c r="G55" s="124">
        <v>10</v>
      </c>
      <c r="H55" s="124">
        <f t="shared" si="0"/>
        <v>1600</v>
      </c>
      <c r="I55" s="124">
        <v>4</v>
      </c>
      <c r="J55" s="125">
        <f t="shared" si="1"/>
        <v>640</v>
      </c>
      <c r="K55" s="219">
        <f t="shared" si="2"/>
        <v>2240</v>
      </c>
      <c r="M55" s="19"/>
      <c r="N55" s="15"/>
      <c r="O55" s="20"/>
      <c r="P55" s="17"/>
      <c r="Q55" s="20"/>
      <c r="R55" s="16"/>
      <c r="S55" s="18"/>
      <c r="T55" s="13"/>
    </row>
    <row r="56" spans="1:20">
      <c r="A56" s="117"/>
      <c r="B56" s="118"/>
      <c r="C56" s="129" t="s">
        <v>282</v>
      </c>
      <c r="D56" s="128" t="s">
        <v>319</v>
      </c>
      <c r="E56" s="121">
        <v>40</v>
      </c>
      <c r="F56" s="122" t="s">
        <v>104</v>
      </c>
      <c r="G56" s="124">
        <v>15</v>
      </c>
      <c r="H56" s="124">
        <f t="shared" si="0"/>
        <v>600</v>
      </c>
      <c r="I56" s="124">
        <v>6</v>
      </c>
      <c r="J56" s="125">
        <f t="shared" si="1"/>
        <v>240</v>
      </c>
      <c r="K56" s="219">
        <f t="shared" si="2"/>
        <v>840</v>
      </c>
      <c r="M56" s="19"/>
      <c r="N56" s="15"/>
      <c r="O56" s="20"/>
      <c r="P56" s="17"/>
      <c r="Q56" s="20"/>
      <c r="R56" s="16"/>
      <c r="S56" s="18"/>
      <c r="T56" s="13"/>
    </row>
    <row r="57" spans="1:20">
      <c r="A57" s="117"/>
      <c r="B57" s="118"/>
      <c r="C57" s="127" t="s">
        <v>1493</v>
      </c>
      <c r="D57" s="128" t="s">
        <v>334</v>
      </c>
      <c r="E57" s="121"/>
      <c r="F57" s="122"/>
      <c r="G57" s="124"/>
      <c r="H57" s="124"/>
      <c r="I57" s="124"/>
      <c r="J57" s="125"/>
      <c r="K57" s="219"/>
      <c r="M57" s="19"/>
      <c r="N57" s="15"/>
      <c r="O57" s="20"/>
      <c r="P57" s="17"/>
      <c r="Q57" s="20"/>
      <c r="R57" s="16"/>
      <c r="S57" s="18"/>
      <c r="T57" s="13"/>
    </row>
    <row r="58" spans="1:20">
      <c r="A58" s="117"/>
      <c r="B58" s="118"/>
      <c r="C58" s="129" t="s">
        <v>282</v>
      </c>
      <c r="D58" s="128" t="s">
        <v>335</v>
      </c>
      <c r="E58" s="121">
        <v>56</v>
      </c>
      <c r="F58" s="122" t="s">
        <v>104</v>
      </c>
      <c r="G58" s="124">
        <v>83</v>
      </c>
      <c r="H58" s="124">
        <f t="shared" si="0"/>
        <v>4648</v>
      </c>
      <c r="I58" s="124">
        <v>48</v>
      </c>
      <c r="J58" s="125">
        <f t="shared" si="1"/>
        <v>2688</v>
      </c>
      <c r="K58" s="219">
        <f t="shared" si="2"/>
        <v>7336</v>
      </c>
      <c r="M58" s="19"/>
      <c r="N58" s="15"/>
      <c r="O58" s="20"/>
      <c r="P58" s="17"/>
      <c r="Q58" s="20"/>
      <c r="R58" s="16"/>
      <c r="S58" s="18"/>
      <c r="T58" s="13"/>
    </row>
    <row r="59" spans="1:20">
      <c r="A59" s="117"/>
      <c r="B59" s="118"/>
      <c r="C59" s="129" t="s">
        <v>282</v>
      </c>
      <c r="D59" s="128" t="s">
        <v>336</v>
      </c>
      <c r="E59" s="121">
        <v>28</v>
      </c>
      <c r="F59" s="122" t="s">
        <v>104</v>
      </c>
      <c r="G59" s="124">
        <v>248</v>
      </c>
      <c r="H59" s="124">
        <f t="shared" si="0"/>
        <v>6944</v>
      </c>
      <c r="I59" s="124">
        <v>79</v>
      </c>
      <c r="J59" s="125">
        <f t="shared" si="1"/>
        <v>2212</v>
      </c>
      <c r="K59" s="219">
        <f t="shared" si="2"/>
        <v>9156</v>
      </c>
      <c r="M59" s="19"/>
      <c r="N59" s="15"/>
      <c r="O59" s="20"/>
      <c r="P59" s="17"/>
      <c r="Q59" s="20"/>
      <c r="R59" s="16"/>
      <c r="S59" s="18"/>
      <c r="T59" s="13"/>
    </row>
    <row r="60" spans="1:20">
      <c r="A60" s="117"/>
      <c r="B60" s="118"/>
      <c r="C60" s="127" t="s">
        <v>1494</v>
      </c>
      <c r="D60" s="128" t="s">
        <v>338</v>
      </c>
      <c r="E60" s="121">
        <v>2</v>
      </c>
      <c r="F60" s="122" t="s">
        <v>284</v>
      </c>
      <c r="G60" s="124">
        <v>4000</v>
      </c>
      <c r="H60" s="124">
        <f t="shared" si="0"/>
        <v>8000</v>
      </c>
      <c r="I60" s="124">
        <v>950</v>
      </c>
      <c r="J60" s="125">
        <f t="shared" si="1"/>
        <v>1900</v>
      </c>
      <c r="K60" s="219">
        <f t="shared" si="2"/>
        <v>9900</v>
      </c>
      <c r="M60" s="19"/>
      <c r="N60" s="15"/>
      <c r="O60" s="20"/>
      <c r="P60" s="17"/>
      <c r="Q60" s="20"/>
      <c r="R60" s="16"/>
      <c r="S60" s="18"/>
      <c r="T60" s="13"/>
    </row>
    <row r="61" spans="1:20">
      <c r="A61" s="117"/>
      <c r="B61" s="118"/>
      <c r="C61" s="127" t="s">
        <v>1495</v>
      </c>
      <c r="D61" s="128" t="s">
        <v>339</v>
      </c>
      <c r="E61" s="121">
        <v>1</v>
      </c>
      <c r="F61" s="122" t="s">
        <v>340</v>
      </c>
      <c r="G61" s="124">
        <v>15300</v>
      </c>
      <c r="H61" s="124">
        <f t="shared" si="0"/>
        <v>15300</v>
      </c>
      <c r="I61" s="124">
        <v>8500</v>
      </c>
      <c r="J61" s="125">
        <f t="shared" si="1"/>
        <v>8500</v>
      </c>
      <c r="K61" s="219">
        <f t="shared" si="2"/>
        <v>23800</v>
      </c>
      <c r="M61" s="19"/>
      <c r="N61" s="15"/>
      <c r="O61" s="20"/>
      <c r="P61" s="17"/>
      <c r="Q61" s="20"/>
      <c r="R61" s="16"/>
      <c r="S61" s="18"/>
      <c r="T61" s="13"/>
    </row>
    <row r="62" spans="1:20">
      <c r="A62" s="117"/>
      <c r="B62" s="118">
        <v>4.4000000000000004</v>
      </c>
      <c r="C62" s="119" t="s">
        <v>341</v>
      </c>
      <c r="D62" s="128"/>
      <c r="E62" s="121"/>
      <c r="F62" s="122"/>
      <c r="G62" s="124"/>
      <c r="H62" s="124">
        <f t="shared" si="0"/>
        <v>0</v>
      </c>
      <c r="I62" s="124"/>
      <c r="J62" s="125">
        <f t="shared" si="1"/>
        <v>0</v>
      </c>
      <c r="K62" s="219">
        <f t="shared" si="2"/>
        <v>0</v>
      </c>
      <c r="M62" s="19"/>
      <c r="N62" s="15"/>
      <c r="O62" s="20"/>
      <c r="P62" s="17"/>
      <c r="Q62" s="20"/>
      <c r="R62" s="16"/>
      <c r="S62" s="18"/>
      <c r="T62" s="13"/>
    </row>
    <row r="63" spans="1:20">
      <c r="A63" s="117"/>
      <c r="B63" s="118"/>
      <c r="C63" s="127" t="s">
        <v>1496</v>
      </c>
      <c r="D63" s="128" t="s">
        <v>1497</v>
      </c>
      <c r="E63" s="121">
        <f>40*0.15</f>
        <v>6</v>
      </c>
      <c r="F63" s="122" t="s">
        <v>284</v>
      </c>
      <c r="G63" s="124">
        <v>625</v>
      </c>
      <c r="H63" s="124">
        <f t="shared" si="0"/>
        <v>3750</v>
      </c>
      <c r="I63" s="124">
        <v>120</v>
      </c>
      <c r="J63" s="125">
        <f t="shared" si="1"/>
        <v>720</v>
      </c>
      <c r="K63" s="219">
        <f t="shared" si="2"/>
        <v>4470</v>
      </c>
      <c r="M63" s="19"/>
      <c r="N63" s="15"/>
      <c r="O63" s="20"/>
      <c r="P63" s="17"/>
      <c r="Q63" s="20"/>
      <c r="R63" s="16"/>
      <c r="S63" s="18"/>
      <c r="T63" s="13"/>
    </row>
    <row r="64" spans="1:20">
      <c r="A64" s="117"/>
      <c r="B64" s="118"/>
      <c r="C64" s="129" t="s">
        <v>1498</v>
      </c>
      <c r="D64" s="130" t="s">
        <v>1499</v>
      </c>
      <c r="E64" s="121">
        <v>34</v>
      </c>
      <c r="F64" s="122" t="s">
        <v>284</v>
      </c>
      <c r="G64" s="124">
        <v>0</v>
      </c>
      <c r="H64" s="124">
        <f t="shared" si="0"/>
        <v>0</v>
      </c>
      <c r="I64" s="124">
        <v>120</v>
      </c>
      <c r="J64" s="125">
        <f t="shared" si="1"/>
        <v>4080</v>
      </c>
      <c r="K64" s="219">
        <f t="shared" si="2"/>
        <v>4080</v>
      </c>
      <c r="M64" s="19"/>
      <c r="N64" s="15"/>
      <c r="O64" s="20"/>
      <c r="P64" s="17"/>
      <c r="Q64" s="20"/>
      <c r="R64" s="16"/>
      <c r="S64" s="18"/>
      <c r="T64" s="13"/>
    </row>
    <row r="65" spans="1:20">
      <c r="A65" s="117"/>
      <c r="B65" s="118"/>
      <c r="C65" s="129" t="s">
        <v>1500</v>
      </c>
      <c r="D65" s="130" t="s">
        <v>1501</v>
      </c>
      <c r="E65" s="121">
        <v>40</v>
      </c>
      <c r="F65" s="122" t="s">
        <v>284</v>
      </c>
      <c r="G65" s="124">
        <v>249</v>
      </c>
      <c r="H65" s="124">
        <f t="shared" si="0"/>
        <v>9960</v>
      </c>
      <c r="I65" s="124">
        <v>45</v>
      </c>
      <c r="J65" s="125">
        <f t="shared" si="1"/>
        <v>1800</v>
      </c>
      <c r="K65" s="219">
        <f t="shared" si="2"/>
        <v>11760</v>
      </c>
      <c r="M65" s="19"/>
      <c r="N65" s="15"/>
      <c r="O65" s="20"/>
      <c r="P65" s="17"/>
      <c r="Q65" s="20"/>
      <c r="R65" s="16"/>
      <c r="S65" s="18"/>
      <c r="T65" s="13"/>
    </row>
    <row r="66" spans="1:20">
      <c r="A66" s="117"/>
      <c r="B66" s="118"/>
      <c r="C66" s="127" t="s">
        <v>1502</v>
      </c>
      <c r="D66" s="128" t="s">
        <v>1503</v>
      </c>
      <c r="E66" s="121">
        <f>40*0.15</f>
        <v>6</v>
      </c>
      <c r="F66" s="122" t="s">
        <v>284</v>
      </c>
      <c r="G66" s="124">
        <v>490</v>
      </c>
      <c r="H66" s="124">
        <f t="shared" si="0"/>
        <v>2940</v>
      </c>
      <c r="I66" s="124">
        <v>120</v>
      </c>
      <c r="J66" s="125">
        <f t="shared" si="1"/>
        <v>720</v>
      </c>
      <c r="K66" s="219">
        <f t="shared" si="2"/>
        <v>3660</v>
      </c>
      <c r="M66" s="19"/>
      <c r="N66" s="15"/>
      <c r="O66" s="20"/>
      <c r="P66" s="17"/>
      <c r="Q66" s="20"/>
      <c r="R66" s="16"/>
      <c r="S66" s="18"/>
      <c r="T66" s="13"/>
    </row>
    <row r="67" spans="1:20">
      <c r="A67" s="117"/>
      <c r="B67" s="118"/>
      <c r="C67" s="129" t="s">
        <v>1504</v>
      </c>
      <c r="D67" s="130" t="s">
        <v>1505</v>
      </c>
      <c r="E67" s="121">
        <v>34</v>
      </c>
      <c r="F67" s="122" t="s">
        <v>284</v>
      </c>
      <c r="G67" s="124">
        <v>0</v>
      </c>
      <c r="H67" s="124">
        <f t="shared" si="0"/>
        <v>0</v>
      </c>
      <c r="I67" s="124">
        <v>120</v>
      </c>
      <c r="J67" s="125">
        <f t="shared" si="1"/>
        <v>4080</v>
      </c>
      <c r="K67" s="219">
        <f t="shared" si="2"/>
        <v>4080</v>
      </c>
      <c r="M67" s="19"/>
      <c r="N67" s="15"/>
      <c r="O67" s="20"/>
      <c r="P67" s="17"/>
      <c r="Q67" s="20"/>
      <c r="R67" s="16"/>
      <c r="S67" s="18"/>
      <c r="T67" s="13"/>
    </row>
    <row r="68" spans="1:20">
      <c r="A68" s="117"/>
      <c r="B68" s="118"/>
      <c r="C68" s="129" t="s">
        <v>1506</v>
      </c>
      <c r="D68" s="130" t="s">
        <v>1507</v>
      </c>
      <c r="E68" s="121">
        <v>40</v>
      </c>
      <c r="F68" s="122" t="s">
        <v>284</v>
      </c>
      <c r="G68" s="124">
        <v>179</v>
      </c>
      <c r="H68" s="124">
        <f t="shared" si="0"/>
        <v>7160</v>
      </c>
      <c r="I68" s="124">
        <v>45</v>
      </c>
      <c r="J68" s="125">
        <f t="shared" si="1"/>
        <v>1800</v>
      </c>
      <c r="K68" s="219">
        <f t="shared" si="2"/>
        <v>8960</v>
      </c>
      <c r="M68" s="19"/>
      <c r="N68" s="15"/>
      <c r="O68" s="20"/>
      <c r="P68" s="17"/>
      <c r="Q68" s="20"/>
      <c r="R68" s="16"/>
      <c r="S68" s="18"/>
      <c r="T68" s="13"/>
    </row>
    <row r="69" spans="1:20">
      <c r="A69" s="117"/>
      <c r="B69" s="118"/>
      <c r="C69" s="127" t="s">
        <v>1508</v>
      </c>
      <c r="D69" s="128" t="s">
        <v>1509</v>
      </c>
      <c r="E69" s="121">
        <f>60*0.15</f>
        <v>9</v>
      </c>
      <c r="F69" s="122" t="s">
        <v>284</v>
      </c>
      <c r="G69" s="124">
        <v>360</v>
      </c>
      <c r="H69" s="124">
        <f t="shared" si="0"/>
        <v>3240</v>
      </c>
      <c r="I69" s="124">
        <v>120</v>
      </c>
      <c r="J69" s="125">
        <f t="shared" si="1"/>
        <v>1080</v>
      </c>
      <c r="K69" s="219">
        <f t="shared" si="2"/>
        <v>4320</v>
      </c>
      <c r="M69" s="19"/>
      <c r="N69" s="15"/>
      <c r="O69" s="20"/>
      <c r="P69" s="17"/>
      <c r="Q69" s="20"/>
      <c r="R69" s="16"/>
      <c r="S69" s="18"/>
      <c r="T69" s="13"/>
    </row>
    <row r="70" spans="1:20">
      <c r="A70" s="117"/>
      <c r="B70" s="118"/>
      <c r="C70" s="129" t="s">
        <v>1510</v>
      </c>
      <c r="D70" s="130" t="s">
        <v>1511</v>
      </c>
      <c r="E70" s="121">
        <v>51</v>
      </c>
      <c r="F70" s="122" t="s">
        <v>284</v>
      </c>
      <c r="G70" s="124">
        <v>0</v>
      </c>
      <c r="H70" s="124">
        <f t="shared" si="0"/>
        <v>0</v>
      </c>
      <c r="I70" s="124">
        <v>120</v>
      </c>
      <c r="J70" s="125">
        <f t="shared" si="1"/>
        <v>6120</v>
      </c>
      <c r="K70" s="219">
        <f t="shared" si="2"/>
        <v>6120</v>
      </c>
      <c r="M70" s="19"/>
      <c r="N70" s="15"/>
      <c r="O70" s="20"/>
      <c r="P70" s="17"/>
      <c r="Q70" s="20"/>
      <c r="R70" s="16"/>
      <c r="S70" s="18"/>
      <c r="T70" s="13"/>
    </row>
    <row r="71" spans="1:20">
      <c r="A71" s="117"/>
      <c r="B71" s="118"/>
      <c r="C71" s="129" t="s">
        <v>1512</v>
      </c>
      <c r="D71" s="130" t="s">
        <v>1513</v>
      </c>
      <c r="E71" s="121">
        <v>60</v>
      </c>
      <c r="F71" s="122" t="s">
        <v>284</v>
      </c>
      <c r="G71" s="124">
        <v>130</v>
      </c>
      <c r="H71" s="124">
        <f t="shared" si="0"/>
        <v>7800</v>
      </c>
      <c r="I71" s="124">
        <v>35</v>
      </c>
      <c r="J71" s="125">
        <f t="shared" si="1"/>
        <v>2100</v>
      </c>
      <c r="K71" s="219">
        <f t="shared" si="2"/>
        <v>9900</v>
      </c>
      <c r="M71" s="19"/>
      <c r="N71" s="15"/>
      <c r="O71" s="20"/>
      <c r="P71" s="17"/>
      <c r="Q71" s="20"/>
      <c r="R71" s="16"/>
      <c r="S71" s="18"/>
      <c r="T71" s="13"/>
    </row>
    <row r="72" spans="1:20">
      <c r="A72" s="117"/>
      <c r="B72" s="118"/>
      <c r="C72" s="127" t="s">
        <v>1514</v>
      </c>
      <c r="D72" s="128" t="s">
        <v>355</v>
      </c>
      <c r="E72" s="121">
        <v>5</v>
      </c>
      <c r="F72" s="122" t="s">
        <v>284</v>
      </c>
      <c r="G72" s="124">
        <v>2500</v>
      </c>
      <c r="H72" s="124">
        <f t="shared" si="0"/>
        <v>12500</v>
      </c>
      <c r="I72" s="124">
        <v>120</v>
      </c>
      <c r="J72" s="125">
        <f t="shared" si="1"/>
        <v>600</v>
      </c>
      <c r="K72" s="219">
        <f t="shared" si="2"/>
        <v>13100</v>
      </c>
      <c r="M72" s="19"/>
      <c r="N72" s="15"/>
      <c r="O72" s="20"/>
      <c r="P72" s="17"/>
      <c r="Q72" s="20"/>
      <c r="R72" s="16"/>
      <c r="S72" s="18"/>
      <c r="T72" s="13"/>
    </row>
    <row r="73" spans="1:20">
      <c r="A73" s="117"/>
      <c r="B73" s="118"/>
      <c r="C73" s="127" t="s">
        <v>1515</v>
      </c>
      <c r="D73" s="128" t="s">
        <v>357</v>
      </c>
      <c r="E73" s="121">
        <v>1</v>
      </c>
      <c r="F73" s="122" t="s">
        <v>284</v>
      </c>
      <c r="G73" s="124">
        <v>3400</v>
      </c>
      <c r="H73" s="124">
        <f t="shared" si="0"/>
        <v>3400</v>
      </c>
      <c r="I73" s="124">
        <v>120</v>
      </c>
      <c r="J73" s="125">
        <f t="shared" si="1"/>
        <v>120</v>
      </c>
      <c r="K73" s="219">
        <f t="shared" si="2"/>
        <v>3520</v>
      </c>
      <c r="M73" s="19"/>
      <c r="N73" s="15"/>
      <c r="O73" s="20"/>
      <c r="P73" s="17"/>
      <c r="Q73" s="20"/>
      <c r="R73" s="16"/>
      <c r="S73" s="18"/>
      <c r="T73" s="13"/>
    </row>
    <row r="74" spans="1:20">
      <c r="A74" s="117"/>
      <c r="B74" s="118">
        <v>4.5</v>
      </c>
      <c r="C74" s="119" t="s">
        <v>358</v>
      </c>
      <c r="D74" s="128"/>
      <c r="E74" s="121"/>
      <c r="F74" s="122"/>
      <c r="G74" s="124"/>
      <c r="H74" s="124"/>
      <c r="I74" s="124"/>
      <c r="J74" s="125"/>
      <c r="K74" s="219"/>
      <c r="M74" s="19"/>
      <c r="N74" s="15"/>
      <c r="O74" s="20"/>
      <c r="P74" s="17"/>
      <c r="Q74" s="20"/>
      <c r="R74" s="16"/>
      <c r="S74" s="18"/>
      <c r="T74" s="13"/>
    </row>
    <row r="75" spans="1:20">
      <c r="A75" s="117"/>
      <c r="B75" s="118"/>
      <c r="C75" s="127" t="s">
        <v>1516</v>
      </c>
      <c r="D75" s="128" t="s">
        <v>360</v>
      </c>
      <c r="E75" s="121">
        <v>87</v>
      </c>
      <c r="F75" s="122" t="s">
        <v>284</v>
      </c>
      <c r="G75" s="124">
        <v>65</v>
      </c>
      <c r="H75" s="124">
        <f t="shared" si="0"/>
        <v>5655</v>
      </c>
      <c r="I75" s="124">
        <v>88</v>
      </c>
      <c r="J75" s="125">
        <f t="shared" si="1"/>
        <v>7656</v>
      </c>
      <c r="K75" s="219">
        <f t="shared" si="2"/>
        <v>13311</v>
      </c>
      <c r="M75" s="19"/>
      <c r="N75" s="15"/>
      <c r="O75" s="20"/>
      <c r="P75" s="17"/>
      <c r="Q75" s="20"/>
      <c r="R75" s="16"/>
      <c r="S75" s="18"/>
      <c r="T75" s="13"/>
    </row>
    <row r="76" spans="1:20">
      <c r="A76" s="117"/>
      <c r="B76" s="118"/>
      <c r="C76" s="127" t="s">
        <v>1517</v>
      </c>
      <c r="D76" s="128" t="s">
        <v>362</v>
      </c>
      <c r="E76" s="121">
        <v>20</v>
      </c>
      <c r="F76" s="122" t="s">
        <v>284</v>
      </c>
      <c r="G76" s="124">
        <v>198</v>
      </c>
      <c r="H76" s="124">
        <f t="shared" si="0"/>
        <v>3960</v>
      </c>
      <c r="I76" s="124">
        <v>88</v>
      </c>
      <c r="J76" s="125">
        <f t="shared" si="1"/>
        <v>1760</v>
      </c>
      <c r="K76" s="219">
        <f t="shared" si="2"/>
        <v>5720</v>
      </c>
      <c r="M76" s="19"/>
      <c r="N76" s="15"/>
      <c r="O76" s="20"/>
      <c r="P76" s="17"/>
      <c r="Q76" s="20"/>
      <c r="R76" s="16"/>
      <c r="S76" s="18"/>
      <c r="T76" s="13"/>
    </row>
    <row r="77" spans="1:20">
      <c r="A77" s="117"/>
      <c r="B77" s="118"/>
      <c r="C77" s="127" t="s">
        <v>1518</v>
      </c>
      <c r="D77" s="128" t="s">
        <v>364</v>
      </c>
      <c r="E77" s="121">
        <v>119</v>
      </c>
      <c r="F77" s="122" t="s">
        <v>284</v>
      </c>
      <c r="G77" s="124">
        <v>215</v>
      </c>
      <c r="H77" s="124">
        <f t="shared" si="0"/>
        <v>25585</v>
      </c>
      <c r="I77" s="124">
        <v>88</v>
      </c>
      <c r="J77" s="125">
        <f t="shared" ref="J77:J122" si="6">E77*I77</f>
        <v>10472</v>
      </c>
      <c r="K77" s="219">
        <f t="shared" ref="K77:K122" si="7">H77+J77</f>
        <v>36057</v>
      </c>
      <c r="M77" s="19"/>
      <c r="N77" s="15"/>
      <c r="O77" s="20"/>
      <c r="P77" s="17"/>
      <c r="Q77" s="20"/>
      <c r="R77" s="16"/>
      <c r="S77" s="18"/>
      <c r="T77" s="13"/>
    </row>
    <row r="78" spans="1:20">
      <c r="A78" s="117"/>
      <c r="B78" s="118">
        <v>4.5</v>
      </c>
      <c r="C78" s="119" t="s">
        <v>365</v>
      </c>
      <c r="D78" s="128"/>
      <c r="E78" s="121"/>
      <c r="F78" s="122"/>
      <c r="G78" s="124"/>
      <c r="H78" s="124">
        <f t="shared" si="0"/>
        <v>0</v>
      </c>
      <c r="I78" s="124"/>
      <c r="J78" s="125">
        <f t="shared" si="6"/>
        <v>0</v>
      </c>
      <c r="K78" s="219">
        <f t="shared" si="7"/>
        <v>0</v>
      </c>
      <c r="M78" s="19"/>
      <c r="N78" s="15"/>
      <c r="O78" s="20"/>
      <c r="P78" s="17"/>
      <c r="Q78" s="20"/>
      <c r="R78" s="16"/>
      <c r="S78" s="18"/>
      <c r="T78" s="13"/>
    </row>
    <row r="79" spans="1:20">
      <c r="A79" s="117"/>
      <c r="B79" s="118"/>
      <c r="C79" s="127" t="s">
        <v>1516</v>
      </c>
      <c r="D79" s="128" t="s">
        <v>367</v>
      </c>
      <c r="E79" s="121">
        <v>3</v>
      </c>
      <c r="F79" s="122" t="s">
        <v>284</v>
      </c>
      <c r="G79" s="124">
        <v>1500</v>
      </c>
      <c r="H79" s="124">
        <f t="shared" si="0"/>
        <v>4500</v>
      </c>
      <c r="I79" s="124">
        <v>350</v>
      </c>
      <c r="J79" s="125">
        <f t="shared" si="6"/>
        <v>1050</v>
      </c>
      <c r="K79" s="219">
        <f t="shared" si="7"/>
        <v>5550</v>
      </c>
      <c r="M79" s="19"/>
      <c r="N79" s="15"/>
      <c r="O79" s="20"/>
      <c r="P79" s="17"/>
      <c r="Q79" s="20"/>
      <c r="R79" s="16"/>
      <c r="S79" s="18"/>
      <c r="T79" s="13"/>
    </row>
    <row r="80" spans="1:20">
      <c r="A80" s="117"/>
      <c r="B80" s="118"/>
      <c r="C80" s="127" t="s">
        <v>1517</v>
      </c>
      <c r="D80" s="128" t="s">
        <v>369</v>
      </c>
      <c r="E80" s="121">
        <v>1</v>
      </c>
      <c r="F80" s="122" t="s">
        <v>284</v>
      </c>
      <c r="G80" s="124">
        <v>2500</v>
      </c>
      <c r="H80" s="124">
        <f t="shared" si="0"/>
        <v>2500</v>
      </c>
      <c r="I80" s="124">
        <v>330</v>
      </c>
      <c r="J80" s="125">
        <f t="shared" si="6"/>
        <v>330</v>
      </c>
      <c r="K80" s="219">
        <f t="shared" si="7"/>
        <v>2830</v>
      </c>
      <c r="M80" s="19"/>
      <c r="N80" s="15"/>
      <c r="O80" s="20"/>
      <c r="P80" s="17"/>
      <c r="Q80" s="20"/>
      <c r="R80" s="16"/>
      <c r="S80" s="18"/>
      <c r="T80" s="13"/>
    </row>
    <row r="81" spans="1:20">
      <c r="A81" s="117"/>
      <c r="B81" s="118"/>
      <c r="C81" s="127" t="s">
        <v>1519</v>
      </c>
      <c r="D81" s="128" t="s">
        <v>371</v>
      </c>
      <c r="E81" s="121">
        <v>1</v>
      </c>
      <c r="F81" s="122" t="s">
        <v>340</v>
      </c>
      <c r="G81" s="124">
        <v>1200</v>
      </c>
      <c r="H81" s="124">
        <f t="shared" si="0"/>
        <v>1200</v>
      </c>
      <c r="I81" s="124">
        <v>850</v>
      </c>
      <c r="J81" s="125">
        <f t="shared" si="6"/>
        <v>850</v>
      </c>
      <c r="K81" s="219">
        <f t="shared" si="7"/>
        <v>2050</v>
      </c>
      <c r="M81" s="19"/>
      <c r="N81" s="15"/>
      <c r="O81" s="20"/>
      <c r="P81" s="17"/>
      <c r="Q81" s="20"/>
      <c r="R81" s="16"/>
      <c r="S81" s="18"/>
      <c r="T81" s="13"/>
    </row>
    <row r="82" spans="1:20">
      <c r="A82" s="117"/>
      <c r="B82" s="118">
        <v>4.5999999999999996</v>
      </c>
      <c r="C82" s="119" t="s">
        <v>372</v>
      </c>
      <c r="D82" s="128"/>
      <c r="E82" s="121"/>
      <c r="F82" s="122"/>
      <c r="G82" s="124"/>
      <c r="H82" s="124">
        <f t="shared" si="0"/>
        <v>0</v>
      </c>
      <c r="I82" s="124"/>
      <c r="J82" s="125">
        <f t="shared" si="6"/>
        <v>0</v>
      </c>
      <c r="K82" s="219">
        <f t="shared" si="7"/>
        <v>0</v>
      </c>
      <c r="M82" s="19"/>
      <c r="N82" s="15"/>
      <c r="O82" s="20"/>
      <c r="P82" s="17"/>
      <c r="Q82" s="20"/>
      <c r="R82" s="16"/>
      <c r="S82" s="18"/>
      <c r="T82" s="13"/>
    </row>
    <row r="83" spans="1:20">
      <c r="A83" s="117"/>
      <c r="B83" s="118"/>
      <c r="C83" s="127" t="s">
        <v>1520</v>
      </c>
      <c r="D83" s="128" t="s">
        <v>374</v>
      </c>
      <c r="E83" s="121">
        <v>3</v>
      </c>
      <c r="F83" s="122" t="s">
        <v>284</v>
      </c>
      <c r="G83" s="124">
        <v>1611</v>
      </c>
      <c r="H83" s="124">
        <f t="shared" si="0"/>
        <v>4833</v>
      </c>
      <c r="I83" s="124">
        <v>88</v>
      </c>
      <c r="J83" s="125">
        <f t="shared" si="6"/>
        <v>264</v>
      </c>
      <c r="K83" s="219">
        <f t="shared" si="7"/>
        <v>5097</v>
      </c>
      <c r="M83" s="19"/>
      <c r="N83" s="15"/>
      <c r="O83" s="20"/>
      <c r="P83" s="17"/>
      <c r="Q83" s="20"/>
      <c r="R83" s="16"/>
      <c r="S83" s="18"/>
      <c r="T83" s="13"/>
    </row>
    <row r="84" spans="1:20">
      <c r="A84" s="117"/>
      <c r="B84" s="118"/>
      <c r="C84" s="127" t="s">
        <v>1521</v>
      </c>
      <c r="D84" s="128" t="s">
        <v>376</v>
      </c>
      <c r="E84" s="121">
        <v>1</v>
      </c>
      <c r="F84" s="122" t="s">
        <v>284</v>
      </c>
      <c r="G84" s="124">
        <v>1320</v>
      </c>
      <c r="H84" s="124">
        <f t="shared" si="0"/>
        <v>1320</v>
      </c>
      <c r="I84" s="124">
        <v>88</v>
      </c>
      <c r="J84" s="125">
        <f t="shared" si="6"/>
        <v>88</v>
      </c>
      <c r="K84" s="219">
        <f t="shared" si="7"/>
        <v>1408</v>
      </c>
      <c r="M84" s="19"/>
      <c r="N84" s="15"/>
      <c r="O84" s="20"/>
      <c r="P84" s="17"/>
      <c r="Q84" s="20"/>
      <c r="R84" s="16"/>
      <c r="S84" s="18"/>
      <c r="T84" s="13"/>
    </row>
    <row r="85" spans="1:20">
      <c r="A85" s="117"/>
      <c r="B85" s="118"/>
      <c r="C85" s="127" t="s">
        <v>1522</v>
      </c>
      <c r="D85" s="128" t="s">
        <v>378</v>
      </c>
      <c r="E85" s="121">
        <v>1</v>
      </c>
      <c r="F85" s="122" t="s">
        <v>284</v>
      </c>
      <c r="G85" s="124">
        <v>1887</v>
      </c>
      <c r="H85" s="124">
        <f t="shared" si="0"/>
        <v>1887</v>
      </c>
      <c r="I85" s="124">
        <v>88</v>
      </c>
      <c r="J85" s="125">
        <f t="shared" si="6"/>
        <v>88</v>
      </c>
      <c r="K85" s="219">
        <f t="shared" si="7"/>
        <v>1975</v>
      </c>
      <c r="M85" s="19"/>
      <c r="N85" s="15"/>
      <c r="O85" s="20"/>
      <c r="P85" s="17"/>
      <c r="Q85" s="20"/>
      <c r="R85" s="16"/>
      <c r="S85" s="18"/>
      <c r="T85" s="13"/>
    </row>
    <row r="86" spans="1:20">
      <c r="A86" s="117"/>
      <c r="B86" s="118"/>
      <c r="C86" s="127" t="s">
        <v>1523</v>
      </c>
      <c r="D86" s="128" t="s">
        <v>380</v>
      </c>
      <c r="E86" s="121">
        <v>1</v>
      </c>
      <c r="F86" s="122" t="s">
        <v>284</v>
      </c>
      <c r="G86" s="124">
        <v>1850</v>
      </c>
      <c r="H86" s="124">
        <f t="shared" si="0"/>
        <v>1850</v>
      </c>
      <c r="I86" s="124">
        <v>450</v>
      </c>
      <c r="J86" s="125">
        <f t="shared" si="6"/>
        <v>450</v>
      </c>
      <c r="K86" s="219">
        <f t="shared" si="7"/>
        <v>2300</v>
      </c>
      <c r="M86" s="19"/>
      <c r="N86" s="15"/>
      <c r="O86" s="20"/>
      <c r="P86" s="17"/>
      <c r="Q86" s="20"/>
      <c r="R86" s="16"/>
      <c r="S86" s="18"/>
      <c r="T86" s="13"/>
    </row>
    <row r="87" spans="1:20">
      <c r="A87" s="117"/>
      <c r="B87" s="118"/>
      <c r="C87" s="127" t="s">
        <v>1524</v>
      </c>
      <c r="D87" s="128" t="s">
        <v>382</v>
      </c>
      <c r="E87" s="121">
        <v>47</v>
      </c>
      <c r="F87" s="122" t="s">
        <v>284</v>
      </c>
      <c r="G87" s="124">
        <v>1050</v>
      </c>
      <c r="H87" s="124">
        <f t="shared" si="0"/>
        <v>49350</v>
      </c>
      <c r="I87" s="124">
        <v>165</v>
      </c>
      <c r="J87" s="125">
        <f t="shared" si="6"/>
        <v>7755</v>
      </c>
      <c r="K87" s="219">
        <f t="shared" si="7"/>
        <v>57105</v>
      </c>
      <c r="M87" s="19"/>
      <c r="N87" s="15"/>
      <c r="O87" s="20"/>
      <c r="P87" s="17"/>
      <c r="Q87" s="20"/>
      <c r="R87" s="16"/>
      <c r="S87" s="18"/>
      <c r="T87" s="13"/>
    </row>
    <row r="88" spans="1:20">
      <c r="A88" s="117"/>
      <c r="B88" s="118"/>
      <c r="C88" s="127" t="s">
        <v>1525</v>
      </c>
      <c r="D88" s="128" t="s">
        <v>384</v>
      </c>
      <c r="E88" s="121">
        <v>1</v>
      </c>
      <c r="F88" s="122" t="s">
        <v>284</v>
      </c>
      <c r="G88" s="124">
        <v>920</v>
      </c>
      <c r="H88" s="124">
        <f t="shared" si="0"/>
        <v>920</v>
      </c>
      <c r="I88" s="124">
        <v>165</v>
      </c>
      <c r="J88" s="125">
        <f t="shared" si="6"/>
        <v>165</v>
      </c>
      <c r="K88" s="219">
        <f t="shared" si="7"/>
        <v>1085</v>
      </c>
      <c r="M88" s="19"/>
      <c r="N88" s="15"/>
      <c r="O88" s="20"/>
      <c r="P88" s="17"/>
      <c r="Q88" s="20"/>
      <c r="R88" s="16"/>
      <c r="S88" s="18"/>
      <c r="T88" s="13"/>
    </row>
    <row r="89" spans="1:20">
      <c r="A89" s="117"/>
      <c r="B89" s="118"/>
      <c r="C89" s="127" t="s">
        <v>1526</v>
      </c>
      <c r="D89" s="128" t="s">
        <v>386</v>
      </c>
      <c r="E89" s="121">
        <v>3</v>
      </c>
      <c r="F89" s="122" t="s">
        <v>284</v>
      </c>
      <c r="G89" s="124">
        <v>927</v>
      </c>
      <c r="H89" s="124">
        <f t="shared" si="0"/>
        <v>2781</v>
      </c>
      <c r="I89" s="124">
        <v>209</v>
      </c>
      <c r="J89" s="125">
        <f t="shared" si="6"/>
        <v>627</v>
      </c>
      <c r="K89" s="219">
        <f t="shared" si="7"/>
        <v>3408</v>
      </c>
      <c r="M89" s="19"/>
      <c r="N89" s="15"/>
      <c r="O89" s="20"/>
      <c r="P89" s="17"/>
      <c r="Q89" s="20"/>
      <c r="R89" s="16"/>
      <c r="S89" s="18"/>
      <c r="T89" s="13"/>
    </row>
    <row r="90" spans="1:20">
      <c r="A90" s="117"/>
      <c r="B90" s="118"/>
      <c r="C90" s="127" t="s">
        <v>1527</v>
      </c>
      <c r="D90" s="128" t="s">
        <v>304</v>
      </c>
      <c r="E90" s="121"/>
      <c r="F90" s="122"/>
      <c r="G90" s="124"/>
      <c r="H90" s="124"/>
      <c r="I90" s="124"/>
      <c r="J90" s="125"/>
      <c r="K90" s="219"/>
      <c r="M90" s="19"/>
      <c r="N90" s="15"/>
      <c r="O90" s="20"/>
      <c r="P90" s="17"/>
      <c r="Q90" s="20"/>
      <c r="R90" s="16"/>
      <c r="S90" s="18"/>
      <c r="T90" s="13"/>
    </row>
    <row r="91" spans="1:20">
      <c r="A91" s="117"/>
      <c r="B91" s="118"/>
      <c r="C91" s="129" t="s">
        <v>282</v>
      </c>
      <c r="D91" s="128" t="s">
        <v>388</v>
      </c>
      <c r="E91" s="121">
        <v>90</v>
      </c>
      <c r="F91" s="122" t="s">
        <v>104</v>
      </c>
      <c r="G91" s="124">
        <v>102</v>
      </c>
      <c r="H91" s="124">
        <f t="shared" si="0"/>
        <v>9180</v>
      </c>
      <c r="I91" s="124">
        <v>14</v>
      </c>
      <c r="J91" s="125">
        <f t="shared" si="6"/>
        <v>1260</v>
      </c>
      <c r="K91" s="219">
        <f t="shared" si="7"/>
        <v>10440</v>
      </c>
      <c r="M91" s="19"/>
      <c r="N91" s="15"/>
      <c r="O91" s="20"/>
      <c r="P91" s="17"/>
      <c r="Q91" s="20"/>
      <c r="R91" s="16"/>
      <c r="S91" s="18"/>
      <c r="T91" s="13"/>
    </row>
    <row r="92" spans="1:20">
      <c r="A92" s="117"/>
      <c r="B92" s="118"/>
      <c r="C92" s="129" t="s">
        <v>282</v>
      </c>
      <c r="D92" s="128" t="s">
        <v>389</v>
      </c>
      <c r="E92" s="121">
        <v>312</v>
      </c>
      <c r="F92" s="122" t="s">
        <v>104</v>
      </c>
      <c r="G92" s="124">
        <v>35</v>
      </c>
      <c r="H92" s="124">
        <f t="shared" si="0"/>
        <v>10920</v>
      </c>
      <c r="I92" s="124">
        <v>11</v>
      </c>
      <c r="J92" s="125">
        <f t="shared" si="6"/>
        <v>3432</v>
      </c>
      <c r="K92" s="219">
        <f t="shared" si="7"/>
        <v>14352</v>
      </c>
      <c r="M92" s="19"/>
      <c r="N92" s="15"/>
      <c r="O92" s="20"/>
      <c r="P92" s="17"/>
      <c r="Q92" s="20"/>
      <c r="R92" s="16"/>
      <c r="S92" s="18"/>
      <c r="T92" s="13"/>
    </row>
    <row r="93" spans="1:20">
      <c r="A93" s="117"/>
      <c r="B93" s="118"/>
      <c r="C93" s="127" t="s">
        <v>1528</v>
      </c>
      <c r="D93" s="128" t="s">
        <v>315</v>
      </c>
      <c r="E93" s="121"/>
      <c r="F93" s="122"/>
      <c r="G93" s="124"/>
      <c r="H93" s="124"/>
      <c r="I93" s="124"/>
      <c r="J93" s="125"/>
      <c r="K93" s="219"/>
      <c r="M93" s="19"/>
      <c r="N93" s="15"/>
      <c r="O93" s="20"/>
      <c r="P93" s="17"/>
      <c r="Q93" s="20"/>
      <c r="R93" s="16"/>
      <c r="S93" s="18"/>
      <c r="T93" s="13"/>
    </row>
    <row r="94" spans="1:20">
      <c r="A94" s="117"/>
      <c r="B94" s="118"/>
      <c r="C94" s="129" t="s">
        <v>282</v>
      </c>
      <c r="D94" s="128" t="s">
        <v>318</v>
      </c>
      <c r="E94" s="121">
        <v>402</v>
      </c>
      <c r="F94" s="122" t="s">
        <v>104</v>
      </c>
      <c r="G94" s="124">
        <v>44.3</v>
      </c>
      <c r="H94" s="124">
        <f t="shared" si="0"/>
        <v>17808.599999999999</v>
      </c>
      <c r="I94" s="124">
        <v>18</v>
      </c>
      <c r="J94" s="125">
        <f t="shared" si="6"/>
        <v>7236</v>
      </c>
      <c r="K94" s="219">
        <f t="shared" si="7"/>
        <v>25044.6</v>
      </c>
      <c r="M94" s="19"/>
      <c r="N94" s="15"/>
      <c r="O94" s="20"/>
      <c r="P94" s="17"/>
      <c r="Q94" s="20"/>
      <c r="R94" s="16"/>
      <c r="S94" s="18"/>
      <c r="T94" s="13"/>
    </row>
    <row r="95" spans="1:20">
      <c r="A95" s="117"/>
      <c r="B95" s="118"/>
      <c r="C95" s="129" t="s">
        <v>282</v>
      </c>
      <c r="D95" s="128" t="s">
        <v>391</v>
      </c>
      <c r="E95" s="121">
        <v>47</v>
      </c>
      <c r="F95" s="122" t="s">
        <v>104</v>
      </c>
      <c r="G95" s="124">
        <v>10</v>
      </c>
      <c r="H95" s="124">
        <f t="shared" si="0"/>
        <v>470</v>
      </c>
      <c r="I95" s="124">
        <v>4</v>
      </c>
      <c r="J95" s="125">
        <f t="shared" si="6"/>
        <v>188</v>
      </c>
      <c r="K95" s="219">
        <f t="shared" si="7"/>
        <v>658</v>
      </c>
      <c r="M95" s="19"/>
      <c r="N95" s="15"/>
      <c r="O95" s="20"/>
      <c r="P95" s="17"/>
      <c r="Q95" s="20"/>
      <c r="R95" s="16"/>
      <c r="S95" s="18"/>
      <c r="T95" s="13"/>
    </row>
    <row r="96" spans="1:20">
      <c r="A96" s="117"/>
      <c r="B96" s="118"/>
      <c r="C96" s="127" t="s">
        <v>1529</v>
      </c>
      <c r="D96" s="128" t="s">
        <v>339</v>
      </c>
      <c r="E96" s="121">
        <v>1</v>
      </c>
      <c r="F96" s="122" t="s">
        <v>340</v>
      </c>
      <c r="G96" s="124">
        <v>6300</v>
      </c>
      <c r="H96" s="124">
        <f t="shared" ref="H96:H122" si="8">E96*G96</f>
        <v>6300</v>
      </c>
      <c r="I96" s="124">
        <v>3500</v>
      </c>
      <c r="J96" s="125">
        <f t="shared" si="6"/>
        <v>3500</v>
      </c>
      <c r="K96" s="219">
        <f t="shared" si="7"/>
        <v>9800</v>
      </c>
      <c r="M96" s="19"/>
      <c r="N96" s="15"/>
      <c r="O96" s="20"/>
      <c r="P96" s="17"/>
      <c r="Q96" s="20"/>
      <c r="R96" s="16"/>
      <c r="S96" s="18"/>
      <c r="T96" s="13"/>
    </row>
    <row r="97" spans="1:20">
      <c r="A97" s="117"/>
      <c r="B97" s="118">
        <v>4.7</v>
      </c>
      <c r="C97" s="119" t="s">
        <v>393</v>
      </c>
      <c r="D97" s="128"/>
      <c r="E97" s="121"/>
      <c r="F97" s="122"/>
      <c r="G97" s="124"/>
      <c r="H97" s="124"/>
      <c r="I97" s="124"/>
      <c r="J97" s="125"/>
      <c r="K97" s="219"/>
      <c r="M97" s="19"/>
      <c r="N97" s="15"/>
      <c r="O97" s="20"/>
      <c r="P97" s="17"/>
      <c r="Q97" s="20"/>
      <c r="R97" s="16"/>
      <c r="S97" s="18"/>
      <c r="T97" s="13"/>
    </row>
    <row r="98" spans="1:20">
      <c r="A98" s="117"/>
      <c r="B98" s="118"/>
      <c r="C98" s="127" t="s">
        <v>1530</v>
      </c>
      <c r="D98" s="128" t="s">
        <v>395</v>
      </c>
      <c r="E98" s="121">
        <v>3</v>
      </c>
      <c r="F98" s="122" t="s">
        <v>284</v>
      </c>
      <c r="G98" s="124">
        <v>375</v>
      </c>
      <c r="H98" s="124">
        <f t="shared" si="8"/>
        <v>1125</v>
      </c>
      <c r="I98" s="124">
        <v>110</v>
      </c>
      <c r="J98" s="125">
        <f t="shared" si="6"/>
        <v>330</v>
      </c>
      <c r="K98" s="219">
        <f t="shared" si="7"/>
        <v>1455</v>
      </c>
      <c r="M98" s="19"/>
      <c r="N98" s="15"/>
      <c r="O98" s="20"/>
      <c r="P98" s="17"/>
      <c r="Q98" s="20"/>
      <c r="R98" s="16"/>
      <c r="S98" s="18"/>
      <c r="T98" s="13"/>
    </row>
    <row r="99" spans="1:20">
      <c r="A99" s="117"/>
      <c r="B99" s="118"/>
      <c r="C99" s="127" t="s">
        <v>1531</v>
      </c>
      <c r="D99" s="128" t="s">
        <v>397</v>
      </c>
      <c r="E99" s="121">
        <v>1</v>
      </c>
      <c r="F99" s="122" t="s">
        <v>284</v>
      </c>
      <c r="G99" s="124">
        <v>3500</v>
      </c>
      <c r="H99" s="124">
        <f t="shared" si="8"/>
        <v>3500</v>
      </c>
      <c r="I99" s="124">
        <v>330</v>
      </c>
      <c r="J99" s="125">
        <f t="shared" si="6"/>
        <v>330</v>
      </c>
      <c r="K99" s="219">
        <f t="shared" si="7"/>
        <v>3830</v>
      </c>
      <c r="M99" s="19"/>
      <c r="N99" s="15"/>
      <c r="O99" s="20"/>
      <c r="P99" s="17"/>
      <c r="Q99" s="20"/>
      <c r="R99" s="16"/>
      <c r="S99" s="18"/>
      <c r="T99" s="13"/>
    </row>
    <row r="100" spans="1:20">
      <c r="A100" s="117"/>
      <c r="B100" s="118"/>
      <c r="C100" s="127" t="s">
        <v>1532</v>
      </c>
      <c r="D100" s="128" t="s">
        <v>399</v>
      </c>
      <c r="E100" s="121"/>
      <c r="F100" s="122"/>
      <c r="G100" s="124"/>
      <c r="H100" s="124"/>
      <c r="I100" s="124"/>
      <c r="J100" s="125"/>
      <c r="K100" s="219"/>
      <c r="M100" s="19"/>
      <c r="N100" s="15"/>
      <c r="O100" s="20"/>
      <c r="P100" s="17"/>
      <c r="Q100" s="20"/>
      <c r="R100" s="16"/>
      <c r="S100" s="18"/>
      <c r="T100" s="13"/>
    </row>
    <row r="101" spans="1:20">
      <c r="A101" s="117"/>
      <c r="B101" s="118"/>
      <c r="C101" s="129" t="s">
        <v>282</v>
      </c>
      <c r="D101" s="128" t="s">
        <v>400</v>
      </c>
      <c r="E101" s="121">
        <v>1</v>
      </c>
      <c r="F101" s="122" t="s">
        <v>284</v>
      </c>
      <c r="G101" s="124">
        <v>3090</v>
      </c>
      <c r="H101" s="124">
        <f t="shared" si="8"/>
        <v>3090</v>
      </c>
      <c r="I101" s="124">
        <v>440</v>
      </c>
      <c r="J101" s="125">
        <f t="shared" si="6"/>
        <v>440</v>
      </c>
      <c r="K101" s="219">
        <f t="shared" si="7"/>
        <v>3530</v>
      </c>
      <c r="M101" s="19"/>
      <c r="N101" s="15"/>
      <c r="O101" s="20"/>
      <c r="P101" s="17"/>
      <c r="Q101" s="20"/>
      <c r="R101" s="16"/>
      <c r="S101" s="18"/>
      <c r="T101" s="13"/>
    </row>
    <row r="102" spans="1:20">
      <c r="A102" s="117"/>
      <c r="B102" s="118"/>
      <c r="C102" s="127" t="s">
        <v>1533</v>
      </c>
      <c r="D102" s="128" t="s">
        <v>402</v>
      </c>
      <c r="E102" s="121">
        <v>1</v>
      </c>
      <c r="F102" s="122" t="s">
        <v>284</v>
      </c>
      <c r="G102" s="124">
        <v>320</v>
      </c>
      <c r="H102" s="124">
        <f t="shared" si="8"/>
        <v>320</v>
      </c>
      <c r="I102" s="124">
        <v>90</v>
      </c>
      <c r="J102" s="125">
        <f t="shared" si="6"/>
        <v>90</v>
      </c>
      <c r="K102" s="219">
        <f t="shared" si="7"/>
        <v>410</v>
      </c>
      <c r="M102" s="19"/>
      <c r="N102" s="15"/>
      <c r="O102" s="20"/>
      <c r="P102" s="17"/>
      <c r="Q102" s="20"/>
      <c r="R102" s="16"/>
      <c r="S102" s="18"/>
      <c r="T102" s="13"/>
    </row>
    <row r="103" spans="1:20">
      <c r="A103" s="117"/>
      <c r="B103" s="118"/>
      <c r="C103" s="127" t="s">
        <v>1534</v>
      </c>
      <c r="D103" s="128" t="s">
        <v>404</v>
      </c>
      <c r="E103" s="121">
        <v>1</v>
      </c>
      <c r="F103" s="122" t="s">
        <v>284</v>
      </c>
      <c r="G103" s="124">
        <v>880</v>
      </c>
      <c r="H103" s="124">
        <f t="shared" si="8"/>
        <v>880</v>
      </c>
      <c r="I103" s="124">
        <v>165</v>
      </c>
      <c r="J103" s="125">
        <f t="shared" si="6"/>
        <v>165</v>
      </c>
      <c r="K103" s="219">
        <f t="shared" si="7"/>
        <v>1045</v>
      </c>
      <c r="M103" s="19"/>
      <c r="N103" s="15"/>
      <c r="O103" s="20"/>
      <c r="P103" s="17"/>
      <c r="Q103" s="20"/>
      <c r="R103" s="16"/>
      <c r="S103" s="18"/>
      <c r="T103" s="13"/>
    </row>
    <row r="104" spans="1:20">
      <c r="A104" s="117"/>
      <c r="B104" s="118"/>
      <c r="C104" s="127" t="s">
        <v>1535</v>
      </c>
      <c r="D104" s="128" t="s">
        <v>406</v>
      </c>
      <c r="E104" s="121">
        <v>1</v>
      </c>
      <c r="F104" s="122" t="s">
        <v>284</v>
      </c>
      <c r="G104" s="124">
        <v>360</v>
      </c>
      <c r="H104" s="124">
        <f t="shared" si="8"/>
        <v>360</v>
      </c>
      <c r="I104" s="124">
        <v>220</v>
      </c>
      <c r="J104" s="125">
        <f t="shared" si="6"/>
        <v>220</v>
      </c>
      <c r="K104" s="219">
        <f t="shared" si="7"/>
        <v>580</v>
      </c>
      <c r="M104" s="19"/>
      <c r="N104" s="15"/>
      <c r="O104" s="20"/>
      <c r="P104" s="17"/>
      <c r="Q104" s="20"/>
      <c r="R104" s="16"/>
      <c r="S104" s="18"/>
      <c r="T104" s="13"/>
    </row>
    <row r="105" spans="1:20">
      <c r="A105" s="117"/>
      <c r="B105" s="118"/>
      <c r="C105" s="127" t="s">
        <v>1536</v>
      </c>
      <c r="D105" s="128" t="s">
        <v>408</v>
      </c>
      <c r="E105" s="121"/>
      <c r="F105" s="122"/>
      <c r="G105" s="124"/>
      <c r="H105" s="124"/>
      <c r="I105" s="124"/>
      <c r="J105" s="125"/>
      <c r="K105" s="219"/>
      <c r="M105" s="19"/>
      <c r="N105" s="15"/>
      <c r="O105" s="20"/>
      <c r="P105" s="17"/>
      <c r="Q105" s="20"/>
      <c r="R105" s="16"/>
      <c r="S105" s="18"/>
      <c r="T105" s="13"/>
    </row>
    <row r="106" spans="1:20">
      <c r="A106" s="117"/>
      <c r="B106" s="118"/>
      <c r="C106" s="129" t="s">
        <v>282</v>
      </c>
      <c r="D106" s="128" t="s">
        <v>409</v>
      </c>
      <c r="E106" s="121">
        <v>1</v>
      </c>
      <c r="F106" s="122" t="s">
        <v>284</v>
      </c>
      <c r="G106" s="124">
        <v>3560</v>
      </c>
      <c r="H106" s="124">
        <f t="shared" si="8"/>
        <v>3560</v>
      </c>
      <c r="I106" s="124">
        <v>330</v>
      </c>
      <c r="J106" s="125">
        <f t="shared" si="6"/>
        <v>330</v>
      </c>
      <c r="K106" s="219">
        <f t="shared" si="7"/>
        <v>3890</v>
      </c>
      <c r="M106" s="19"/>
      <c r="N106" s="15"/>
      <c r="O106" s="20"/>
      <c r="P106" s="17"/>
      <c r="Q106" s="20"/>
      <c r="R106" s="16"/>
      <c r="S106" s="18"/>
      <c r="T106" s="13"/>
    </row>
    <row r="107" spans="1:20">
      <c r="A107" s="117"/>
      <c r="B107" s="118"/>
      <c r="C107" s="127" t="s">
        <v>1537</v>
      </c>
      <c r="D107" s="128" t="s">
        <v>304</v>
      </c>
      <c r="E107" s="121"/>
      <c r="F107" s="122"/>
      <c r="G107" s="124"/>
      <c r="H107" s="124"/>
      <c r="I107" s="124"/>
      <c r="J107" s="125"/>
      <c r="K107" s="219"/>
      <c r="M107" s="19"/>
      <c r="N107" s="15"/>
      <c r="O107" s="20"/>
      <c r="P107" s="17"/>
      <c r="Q107" s="20"/>
      <c r="R107" s="16"/>
      <c r="S107" s="18"/>
      <c r="T107" s="13"/>
    </row>
    <row r="108" spans="1:20">
      <c r="A108" s="117"/>
      <c r="B108" s="118"/>
      <c r="C108" s="129" t="s">
        <v>282</v>
      </c>
      <c r="D108" s="128" t="s">
        <v>411</v>
      </c>
      <c r="E108" s="121">
        <v>68</v>
      </c>
      <c r="F108" s="122" t="s">
        <v>104</v>
      </c>
      <c r="G108" s="124">
        <v>15</v>
      </c>
      <c r="H108" s="124">
        <f t="shared" si="8"/>
        <v>1020</v>
      </c>
      <c r="I108" s="124">
        <v>12</v>
      </c>
      <c r="J108" s="125">
        <f t="shared" si="6"/>
        <v>816</v>
      </c>
      <c r="K108" s="219">
        <f t="shared" si="7"/>
        <v>1836</v>
      </c>
      <c r="M108" s="19"/>
      <c r="N108" s="15"/>
      <c r="O108" s="20"/>
      <c r="P108" s="17"/>
      <c r="Q108" s="20"/>
      <c r="R108" s="16"/>
      <c r="S108" s="18"/>
      <c r="T108" s="13"/>
    </row>
    <row r="109" spans="1:20">
      <c r="A109" s="117"/>
      <c r="B109" s="118"/>
      <c r="C109" s="127" t="s">
        <v>1538</v>
      </c>
      <c r="D109" s="128" t="s">
        <v>315</v>
      </c>
      <c r="E109" s="121"/>
      <c r="F109" s="122"/>
      <c r="G109" s="124"/>
      <c r="H109" s="124"/>
      <c r="I109" s="124"/>
      <c r="J109" s="125"/>
      <c r="K109" s="219"/>
      <c r="M109" s="19"/>
      <c r="N109" s="15"/>
      <c r="O109" s="20"/>
      <c r="P109" s="17"/>
      <c r="Q109" s="20"/>
      <c r="R109" s="16"/>
      <c r="S109" s="18"/>
      <c r="T109" s="13"/>
    </row>
    <row r="110" spans="1:20">
      <c r="A110" s="117"/>
      <c r="B110" s="118"/>
      <c r="C110" s="129" t="s">
        <v>282</v>
      </c>
      <c r="D110" s="128" t="s">
        <v>318</v>
      </c>
      <c r="E110" s="121">
        <v>3</v>
      </c>
      <c r="F110" s="122" t="s">
        <v>104</v>
      </c>
      <c r="G110" s="124">
        <v>44.3</v>
      </c>
      <c r="H110" s="124">
        <f t="shared" si="8"/>
        <v>132.89999999999998</v>
      </c>
      <c r="I110" s="124">
        <v>18</v>
      </c>
      <c r="J110" s="125">
        <f t="shared" si="6"/>
        <v>54</v>
      </c>
      <c r="K110" s="219">
        <f t="shared" si="7"/>
        <v>186.89999999999998</v>
      </c>
      <c r="M110" s="19"/>
      <c r="N110" s="15"/>
      <c r="O110" s="20"/>
      <c r="P110" s="17"/>
      <c r="Q110" s="20"/>
      <c r="R110" s="16"/>
      <c r="S110" s="18"/>
      <c r="T110" s="13"/>
    </row>
    <row r="111" spans="1:20">
      <c r="A111" s="117"/>
      <c r="B111" s="118"/>
      <c r="C111" s="129" t="s">
        <v>282</v>
      </c>
      <c r="D111" s="128" t="s">
        <v>391</v>
      </c>
      <c r="E111" s="121">
        <v>3</v>
      </c>
      <c r="F111" s="122" t="s">
        <v>104</v>
      </c>
      <c r="G111" s="124">
        <v>10</v>
      </c>
      <c r="H111" s="124">
        <f t="shared" si="8"/>
        <v>30</v>
      </c>
      <c r="I111" s="124">
        <v>4</v>
      </c>
      <c r="J111" s="125">
        <f t="shared" si="6"/>
        <v>12</v>
      </c>
      <c r="K111" s="219">
        <f t="shared" si="7"/>
        <v>42</v>
      </c>
      <c r="M111" s="19"/>
      <c r="N111" s="15"/>
      <c r="O111" s="20"/>
      <c r="P111" s="17"/>
      <c r="Q111" s="20"/>
      <c r="R111" s="16"/>
      <c r="S111" s="18"/>
      <c r="T111" s="13"/>
    </row>
    <row r="112" spans="1:20">
      <c r="A112" s="117"/>
      <c r="B112" s="118"/>
      <c r="C112" s="127" t="s">
        <v>1539</v>
      </c>
      <c r="D112" s="128" t="s">
        <v>339</v>
      </c>
      <c r="E112" s="121">
        <v>1</v>
      </c>
      <c r="F112" s="122" t="s">
        <v>340</v>
      </c>
      <c r="G112" s="124">
        <v>5150</v>
      </c>
      <c r="H112" s="124">
        <f t="shared" si="8"/>
        <v>5150</v>
      </c>
      <c r="I112" s="124">
        <v>2750</v>
      </c>
      <c r="J112" s="125">
        <f t="shared" si="6"/>
        <v>2750</v>
      </c>
      <c r="K112" s="219">
        <f t="shared" si="7"/>
        <v>7900</v>
      </c>
      <c r="M112" s="19"/>
      <c r="N112" s="15"/>
      <c r="O112" s="20"/>
      <c r="P112" s="17"/>
      <c r="Q112" s="20"/>
      <c r="R112" s="16"/>
      <c r="S112" s="18"/>
      <c r="T112" s="13"/>
    </row>
    <row r="113" spans="1:20">
      <c r="A113" s="117"/>
      <c r="B113" s="118">
        <v>4.8</v>
      </c>
      <c r="C113" s="119" t="s">
        <v>414</v>
      </c>
      <c r="D113" s="128"/>
      <c r="E113" s="121"/>
      <c r="F113" s="122"/>
      <c r="G113" s="124"/>
      <c r="H113" s="124"/>
      <c r="I113" s="124"/>
      <c r="J113" s="125"/>
      <c r="K113" s="219"/>
      <c r="M113" s="19"/>
      <c r="N113" s="15"/>
      <c r="O113" s="20"/>
      <c r="P113" s="17"/>
      <c r="Q113" s="20"/>
      <c r="R113" s="16"/>
      <c r="S113" s="18"/>
      <c r="T113" s="13"/>
    </row>
    <row r="114" spans="1:20">
      <c r="A114" s="117"/>
      <c r="B114" s="118"/>
      <c r="C114" s="127" t="s">
        <v>1540</v>
      </c>
      <c r="D114" s="128" t="s">
        <v>416</v>
      </c>
      <c r="E114" s="121">
        <v>41</v>
      </c>
      <c r="F114" s="122" t="s">
        <v>284</v>
      </c>
      <c r="G114" s="124">
        <v>242</v>
      </c>
      <c r="H114" s="124">
        <f t="shared" si="8"/>
        <v>9922</v>
      </c>
      <c r="I114" s="124">
        <v>110</v>
      </c>
      <c r="J114" s="125">
        <f t="shared" si="6"/>
        <v>4510</v>
      </c>
      <c r="K114" s="219">
        <f t="shared" si="7"/>
        <v>14432</v>
      </c>
      <c r="M114" s="19"/>
      <c r="N114" s="15"/>
      <c r="O114" s="20"/>
      <c r="P114" s="17"/>
      <c r="Q114" s="20"/>
      <c r="R114" s="16"/>
      <c r="S114" s="18"/>
      <c r="T114" s="13"/>
    </row>
    <row r="115" spans="1:20">
      <c r="A115" s="117"/>
      <c r="B115" s="118"/>
      <c r="C115" s="127" t="s">
        <v>1541</v>
      </c>
      <c r="D115" s="128" t="s">
        <v>418</v>
      </c>
      <c r="E115" s="121">
        <v>6</v>
      </c>
      <c r="F115" s="122" t="s">
        <v>287</v>
      </c>
      <c r="G115" s="124">
        <v>100</v>
      </c>
      <c r="H115" s="124">
        <f t="shared" si="8"/>
        <v>600</v>
      </c>
      <c r="I115" s="124">
        <v>88</v>
      </c>
      <c r="J115" s="125">
        <f t="shared" si="6"/>
        <v>528</v>
      </c>
      <c r="K115" s="219">
        <f t="shared" si="7"/>
        <v>1128</v>
      </c>
      <c r="M115" s="19"/>
      <c r="N115" s="15"/>
      <c r="O115" s="20"/>
      <c r="P115" s="17"/>
      <c r="Q115" s="20"/>
      <c r="R115" s="16"/>
      <c r="S115" s="18"/>
      <c r="T115" s="13"/>
    </row>
    <row r="116" spans="1:20">
      <c r="A116" s="117"/>
      <c r="B116" s="118"/>
      <c r="C116" s="127" t="s">
        <v>1542</v>
      </c>
      <c r="D116" s="128" t="s">
        <v>420</v>
      </c>
      <c r="E116" s="121">
        <v>6</v>
      </c>
      <c r="F116" s="122" t="s">
        <v>287</v>
      </c>
      <c r="G116" s="124">
        <v>100</v>
      </c>
      <c r="H116" s="124">
        <f t="shared" si="8"/>
        <v>600</v>
      </c>
      <c r="I116" s="124">
        <v>88</v>
      </c>
      <c r="J116" s="125">
        <f t="shared" si="6"/>
        <v>528</v>
      </c>
      <c r="K116" s="219">
        <f t="shared" si="7"/>
        <v>1128</v>
      </c>
      <c r="M116" s="19"/>
      <c r="N116" s="15"/>
      <c r="O116" s="20"/>
      <c r="P116" s="17"/>
      <c r="Q116" s="20"/>
      <c r="R116" s="16"/>
      <c r="S116" s="18"/>
      <c r="T116" s="13"/>
    </row>
    <row r="117" spans="1:20">
      <c r="A117" s="117"/>
      <c r="B117" s="118"/>
      <c r="C117" s="127" t="s">
        <v>1543</v>
      </c>
      <c r="D117" s="128" t="s">
        <v>304</v>
      </c>
      <c r="E117" s="121"/>
      <c r="F117" s="122"/>
      <c r="G117" s="124"/>
      <c r="H117" s="124"/>
      <c r="I117" s="124"/>
      <c r="J117" s="125"/>
      <c r="K117" s="219"/>
      <c r="M117" s="19"/>
      <c r="N117" s="15"/>
      <c r="O117" s="20"/>
      <c r="P117" s="17"/>
      <c r="Q117" s="20"/>
      <c r="R117" s="16"/>
      <c r="S117" s="18"/>
      <c r="T117" s="13"/>
    </row>
    <row r="118" spans="1:20">
      <c r="A118" s="117"/>
      <c r="B118" s="118"/>
      <c r="C118" s="129" t="s">
        <v>282</v>
      </c>
      <c r="D118" s="128" t="s">
        <v>422</v>
      </c>
      <c r="E118" s="121">
        <v>488</v>
      </c>
      <c r="F118" s="122" t="s">
        <v>104</v>
      </c>
      <c r="G118" s="124">
        <v>18</v>
      </c>
      <c r="H118" s="124">
        <f t="shared" si="8"/>
        <v>8784</v>
      </c>
      <c r="I118" s="124">
        <v>12</v>
      </c>
      <c r="J118" s="125">
        <f t="shared" si="6"/>
        <v>5856</v>
      </c>
      <c r="K118" s="219">
        <f t="shared" si="7"/>
        <v>14640</v>
      </c>
      <c r="M118" s="19"/>
      <c r="N118" s="15"/>
      <c r="O118" s="20"/>
      <c r="P118" s="17"/>
      <c r="Q118" s="20"/>
      <c r="R118" s="16"/>
      <c r="S118" s="18"/>
      <c r="T118" s="13"/>
    </row>
    <row r="119" spans="1:20">
      <c r="A119" s="117"/>
      <c r="B119" s="118"/>
      <c r="C119" s="129" t="s">
        <v>282</v>
      </c>
      <c r="D119" s="128" t="s">
        <v>423</v>
      </c>
      <c r="E119" s="121"/>
      <c r="F119" s="122"/>
      <c r="G119" s="124"/>
      <c r="H119" s="124">
        <f t="shared" si="8"/>
        <v>0</v>
      </c>
      <c r="I119" s="124"/>
      <c r="J119" s="125">
        <f t="shared" si="6"/>
        <v>0</v>
      </c>
      <c r="K119" s="219">
        <f t="shared" si="7"/>
        <v>0</v>
      </c>
      <c r="M119" s="19"/>
      <c r="N119" s="15"/>
      <c r="O119" s="20"/>
      <c r="P119" s="17"/>
      <c r="Q119" s="20"/>
      <c r="R119" s="16"/>
      <c r="S119" s="18"/>
      <c r="T119" s="13"/>
    </row>
    <row r="120" spans="1:20">
      <c r="A120" s="117"/>
      <c r="B120" s="118"/>
      <c r="C120" s="127" t="s">
        <v>1544</v>
      </c>
      <c r="D120" s="128" t="s">
        <v>315</v>
      </c>
      <c r="E120" s="121"/>
      <c r="F120" s="122"/>
      <c r="G120" s="124"/>
      <c r="H120" s="124"/>
      <c r="I120" s="124"/>
      <c r="J120" s="125"/>
      <c r="K120" s="219"/>
      <c r="M120" s="19"/>
      <c r="N120" s="15"/>
      <c r="O120" s="20"/>
      <c r="P120" s="17"/>
      <c r="Q120" s="20"/>
      <c r="R120" s="16"/>
      <c r="S120" s="18"/>
      <c r="T120" s="13"/>
    </row>
    <row r="121" spans="1:20">
      <c r="A121" s="117"/>
      <c r="B121" s="118"/>
      <c r="C121" s="129" t="s">
        <v>282</v>
      </c>
      <c r="D121" s="128" t="s">
        <v>318</v>
      </c>
      <c r="E121" s="131">
        <v>380</v>
      </c>
      <c r="F121" s="122" t="s">
        <v>104</v>
      </c>
      <c r="G121" s="124">
        <v>44.3</v>
      </c>
      <c r="H121" s="124">
        <f t="shared" si="8"/>
        <v>16834</v>
      </c>
      <c r="I121" s="124">
        <v>18</v>
      </c>
      <c r="J121" s="125">
        <f t="shared" si="6"/>
        <v>6840</v>
      </c>
      <c r="K121" s="219">
        <f t="shared" si="7"/>
        <v>23674</v>
      </c>
      <c r="M121" s="14"/>
      <c r="N121" s="15"/>
      <c r="O121" s="20"/>
      <c r="P121" s="17"/>
      <c r="Q121" s="20"/>
      <c r="R121" s="16"/>
      <c r="S121" s="18"/>
      <c r="T121" s="13"/>
    </row>
    <row r="122" spans="1:20">
      <c r="A122" s="117"/>
      <c r="B122" s="118"/>
      <c r="C122" s="127" t="s">
        <v>1545</v>
      </c>
      <c r="D122" s="128" t="s">
        <v>339</v>
      </c>
      <c r="E122" s="131">
        <v>1</v>
      </c>
      <c r="F122" s="122" t="s">
        <v>340</v>
      </c>
      <c r="G122" s="124">
        <v>5600</v>
      </c>
      <c r="H122" s="124">
        <f t="shared" si="8"/>
        <v>5600</v>
      </c>
      <c r="I122" s="124">
        <v>3000</v>
      </c>
      <c r="J122" s="125">
        <f t="shared" si="6"/>
        <v>3000</v>
      </c>
      <c r="K122" s="219">
        <f t="shared" si="7"/>
        <v>8600</v>
      </c>
      <c r="M122" s="14"/>
      <c r="N122" s="15"/>
      <c r="O122" s="20"/>
      <c r="P122" s="17"/>
      <c r="Q122" s="20"/>
      <c r="R122" s="16"/>
      <c r="S122" s="18"/>
      <c r="T122" s="13"/>
    </row>
    <row r="123" spans="1:20">
      <c r="A123" s="117"/>
      <c r="B123" s="118"/>
      <c r="C123" s="127"/>
      <c r="D123" s="128"/>
      <c r="E123" s="132"/>
      <c r="F123" s="122"/>
      <c r="G123" s="124"/>
      <c r="H123" s="124"/>
      <c r="I123" s="124"/>
      <c r="J123" s="125"/>
      <c r="K123" s="219"/>
      <c r="M123" s="14"/>
      <c r="N123" s="15"/>
      <c r="O123" s="20"/>
      <c r="P123" s="17"/>
      <c r="Q123" s="20"/>
      <c r="R123" s="16"/>
      <c r="S123" s="18"/>
      <c r="T123" s="13"/>
    </row>
    <row r="124" spans="1:20">
      <c r="A124" s="110">
        <v>5</v>
      </c>
      <c r="B124" s="111"/>
      <c r="C124" s="112"/>
      <c r="D124" s="113" t="s">
        <v>426</v>
      </c>
      <c r="E124" s="114"/>
      <c r="F124" s="115"/>
      <c r="G124" s="116"/>
      <c r="H124" s="116">
        <f>SUM(H126:H145)</f>
        <v>330750</v>
      </c>
      <c r="I124" s="116"/>
      <c r="J124" s="116">
        <f>SUM(J125:J145)</f>
        <v>146600</v>
      </c>
      <c r="K124" s="220">
        <f>SUM(K125:K145)</f>
        <v>477350</v>
      </c>
      <c r="M124" s="14"/>
      <c r="N124" s="15"/>
      <c r="O124" s="16"/>
      <c r="P124" s="16"/>
      <c r="Q124" s="16"/>
      <c r="R124" s="16"/>
      <c r="S124" s="16"/>
      <c r="T124" s="13"/>
    </row>
    <row r="125" spans="1:20">
      <c r="A125" s="117"/>
      <c r="B125" s="118">
        <v>5.0999999999999996</v>
      </c>
      <c r="C125" s="119" t="s">
        <v>427</v>
      </c>
      <c r="D125" s="120"/>
      <c r="E125" s="134"/>
      <c r="F125" s="122"/>
      <c r="G125" s="124"/>
      <c r="H125" s="125"/>
      <c r="I125" s="124"/>
      <c r="J125" s="125"/>
      <c r="K125" s="221"/>
      <c r="M125" s="25"/>
      <c r="N125" s="15"/>
      <c r="O125" s="20"/>
      <c r="P125" s="17"/>
      <c r="Q125" s="20"/>
      <c r="R125" s="16"/>
      <c r="S125" s="18"/>
      <c r="T125" s="13"/>
    </row>
    <row r="126" spans="1:20">
      <c r="A126" s="117"/>
      <c r="B126" s="118"/>
      <c r="C126" s="127" t="s">
        <v>453</v>
      </c>
      <c r="D126" s="128" t="s">
        <v>429</v>
      </c>
      <c r="E126" s="134">
        <v>20</v>
      </c>
      <c r="F126" s="122" t="s">
        <v>284</v>
      </c>
      <c r="G126" s="124">
        <v>13500</v>
      </c>
      <c r="H126" s="125">
        <f>E126*G126</f>
        <v>270000</v>
      </c>
      <c r="I126" s="124">
        <v>2850</v>
      </c>
      <c r="J126" s="125">
        <f>E126*I126</f>
        <v>57000</v>
      </c>
      <c r="K126" s="219">
        <f>H126+J126</f>
        <v>327000</v>
      </c>
      <c r="M126" s="25"/>
      <c r="N126" s="15"/>
      <c r="O126" s="20"/>
      <c r="P126" s="17"/>
      <c r="Q126" s="20"/>
      <c r="R126" s="16"/>
      <c r="S126" s="18"/>
      <c r="T126" s="13"/>
    </row>
    <row r="127" spans="1:20">
      <c r="A127" s="117"/>
      <c r="B127" s="118"/>
      <c r="C127" s="129" t="s">
        <v>1546</v>
      </c>
      <c r="D127" s="130" t="s">
        <v>1547</v>
      </c>
      <c r="E127" s="134">
        <v>20</v>
      </c>
      <c r="F127" s="122" t="s">
        <v>284</v>
      </c>
      <c r="G127" s="124">
        <v>0</v>
      </c>
      <c r="H127" s="125">
        <f>E127*G127</f>
        <v>0</v>
      </c>
      <c r="I127" s="124">
        <v>2850</v>
      </c>
      <c r="J127" s="125">
        <f>E127*I127</f>
        <v>57000</v>
      </c>
      <c r="K127" s="219">
        <f>H127+J127</f>
        <v>57000</v>
      </c>
      <c r="M127" s="25"/>
      <c r="N127" s="15"/>
      <c r="O127" s="20"/>
      <c r="P127" s="17"/>
      <c r="Q127" s="20"/>
      <c r="R127" s="16"/>
      <c r="S127" s="18"/>
      <c r="T127" s="13"/>
    </row>
    <row r="128" spans="1:20">
      <c r="A128" s="117"/>
      <c r="B128" s="118"/>
      <c r="C128" s="127" t="s">
        <v>455</v>
      </c>
      <c r="D128" s="128" t="s">
        <v>432</v>
      </c>
      <c r="E128" s="134"/>
      <c r="F128" s="122"/>
      <c r="G128" s="124"/>
      <c r="H128" s="125"/>
      <c r="I128" s="124"/>
      <c r="J128" s="125"/>
      <c r="K128" s="219"/>
      <c r="M128" s="25"/>
      <c r="N128" s="15"/>
      <c r="O128" s="20"/>
      <c r="P128" s="17"/>
      <c r="Q128" s="20"/>
      <c r="R128" s="16"/>
      <c r="S128" s="18"/>
      <c r="T128" s="13"/>
    </row>
    <row r="129" spans="1:20">
      <c r="A129" s="117"/>
      <c r="B129" s="118"/>
      <c r="C129" s="129" t="s">
        <v>282</v>
      </c>
      <c r="D129" s="128" t="s">
        <v>1548</v>
      </c>
      <c r="E129" s="134">
        <v>20</v>
      </c>
      <c r="F129" s="122" t="s">
        <v>284</v>
      </c>
      <c r="G129" s="124">
        <v>1600</v>
      </c>
      <c r="H129" s="125">
        <f t="shared" ref="H129:H144" si="9">E129*G129</f>
        <v>32000</v>
      </c>
      <c r="I129" s="124">
        <v>540</v>
      </c>
      <c r="J129" s="125">
        <f t="shared" ref="J129:J144" si="10">E129*I129</f>
        <v>10800</v>
      </c>
      <c r="K129" s="219">
        <f t="shared" ref="K129:K144" si="11">H129+J129</f>
        <v>42800</v>
      </c>
      <c r="M129" s="25"/>
      <c r="N129" s="15"/>
      <c r="O129" s="20"/>
      <c r="P129" s="17"/>
      <c r="Q129" s="20"/>
      <c r="R129" s="16"/>
      <c r="S129" s="18"/>
      <c r="T129" s="13"/>
    </row>
    <row r="130" spans="1:20">
      <c r="A130" s="117"/>
      <c r="B130" s="118"/>
      <c r="C130" s="129" t="s">
        <v>282</v>
      </c>
      <c r="D130" s="128" t="s">
        <v>1549</v>
      </c>
      <c r="E130" s="134">
        <v>20</v>
      </c>
      <c r="F130" s="122" t="s">
        <v>284</v>
      </c>
      <c r="G130" s="124">
        <v>0</v>
      </c>
      <c r="H130" s="125">
        <f t="shared" si="9"/>
        <v>0</v>
      </c>
      <c r="I130" s="124">
        <v>540</v>
      </c>
      <c r="J130" s="125">
        <f t="shared" si="10"/>
        <v>10800</v>
      </c>
      <c r="K130" s="219">
        <f t="shared" si="11"/>
        <v>10800</v>
      </c>
      <c r="M130" s="25"/>
      <c r="N130" s="15"/>
      <c r="O130" s="20"/>
      <c r="P130" s="17"/>
      <c r="Q130" s="20"/>
      <c r="R130" s="16"/>
      <c r="S130" s="18"/>
      <c r="T130" s="13"/>
    </row>
    <row r="131" spans="1:20">
      <c r="A131" s="117"/>
      <c r="B131" s="118">
        <v>5.2</v>
      </c>
      <c r="C131" s="119" t="s">
        <v>435</v>
      </c>
      <c r="D131" s="128"/>
      <c r="E131" s="134">
        <v>1</v>
      </c>
      <c r="F131" s="122" t="s">
        <v>340</v>
      </c>
      <c r="G131" s="124">
        <v>16450</v>
      </c>
      <c r="H131" s="125">
        <f t="shared" si="9"/>
        <v>16450</v>
      </c>
      <c r="I131" s="124">
        <v>5500</v>
      </c>
      <c r="J131" s="125">
        <f t="shared" si="10"/>
        <v>5500</v>
      </c>
      <c r="K131" s="219">
        <f t="shared" si="11"/>
        <v>21950</v>
      </c>
      <c r="M131" s="25"/>
      <c r="N131" s="15"/>
      <c r="O131" s="20"/>
      <c r="P131" s="17"/>
      <c r="Q131" s="20"/>
      <c r="R131" s="16"/>
      <c r="S131" s="18"/>
      <c r="T131" s="13"/>
    </row>
    <row r="132" spans="1:20">
      <c r="A132" s="117"/>
      <c r="B132" s="118"/>
      <c r="C132" s="127" t="s">
        <v>1068</v>
      </c>
      <c r="D132" s="128" t="s">
        <v>437</v>
      </c>
      <c r="E132" s="134"/>
      <c r="F132" s="122"/>
      <c r="G132" s="124">
        <v>0</v>
      </c>
      <c r="H132" s="125">
        <f t="shared" si="9"/>
        <v>0</v>
      </c>
      <c r="I132" s="124">
        <v>0</v>
      </c>
      <c r="J132" s="125">
        <f t="shared" si="10"/>
        <v>0</v>
      </c>
      <c r="K132" s="219">
        <f t="shared" si="11"/>
        <v>0</v>
      </c>
      <c r="M132" s="25"/>
      <c r="N132" s="15"/>
      <c r="O132" s="20"/>
      <c r="P132" s="17"/>
      <c r="Q132" s="20"/>
      <c r="R132" s="16"/>
      <c r="S132" s="18"/>
      <c r="T132" s="13"/>
    </row>
    <row r="133" spans="1:20">
      <c r="A133" s="117"/>
      <c r="B133" s="118"/>
      <c r="C133" s="129" t="s">
        <v>282</v>
      </c>
      <c r="D133" s="128" t="s">
        <v>438</v>
      </c>
      <c r="E133" s="134"/>
      <c r="F133" s="22"/>
      <c r="G133" s="124">
        <v>0</v>
      </c>
      <c r="H133" s="125">
        <f t="shared" si="9"/>
        <v>0</v>
      </c>
      <c r="I133" s="124">
        <v>0</v>
      </c>
      <c r="J133" s="125">
        <f t="shared" si="10"/>
        <v>0</v>
      </c>
      <c r="K133" s="219">
        <f t="shared" si="11"/>
        <v>0</v>
      </c>
      <c r="M133" s="25"/>
      <c r="N133" s="15"/>
      <c r="O133" s="20"/>
      <c r="P133" s="17"/>
      <c r="Q133" s="20"/>
      <c r="R133" s="16"/>
      <c r="S133" s="18"/>
      <c r="T133" s="13"/>
    </row>
    <row r="134" spans="1:20">
      <c r="A134" s="117"/>
      <c r="B134" s="118"/>
      <c r="C134" s="127" t="s">
        <v>1070</v>
      </c>
      <c r="D134" s="128" t="s">
        <v>440</v>
      </c>
      <c r="E134" s="26"/>
      <c r="F134" s="22"/>
      <c r="G134" s="124">
        <v>0</v>
      </c>
      <c r="H134" s="125">
        <f t="shared" si="9"/>
        <v>0</v>
      </c>
      <c r="I134" s="124">
        <v>0</v>
      </c>
      <c r="J134" s="125">
        <f t="shared" si="10"/>
        <v>0</v>
      </c>
      <c r="K134" s="219">
        <f t="shared" si="11"/>
        <v>0</v>
      </c>
      <c r="M134" s="25"/>
      <c r="N134" s="15"/>
      <c r="O134" s="20"/>
      <c r="P134" s="17"/>
      <c r="Q134" s="20"/>
      <c r="R134" s="16"/>
      <c r="S134" s="18"/>
      <c r="T134" s="13"/>
    </row>
    <row r="135" spans="1:20">
      <c r="A135" s="117"/>
      <c r="B135" s="118"/>
      <c r="C135" s="129" t="s">
        <v>282</v>
      </c>
      <c r="D135" s="128" t="s">
        <v>441</v>
      </c>
      <c r="E135" s="26"/>
      <c r="F135" s="22"/>
      <c r="G135" s="124">
        <v>0</v>
      </c>
      <c r="H135" s="125">
        <f t="shared" si="9"/>
        <v>0</v>
      </c>
      <c r="I135" s="124">
        <v>0</v>
      </c>
      <c r="J135" s="125">
        <f t="shared" si="10"/>
        <v>0</v>
      </c>
      <c r="K135" s="219">
        <f t="shared" si="11"/>
        <v>0</v>
      </c>
      <c r="M135" s="25"/>
      <c r="N135" s="15"/>
      <c r="O135" s="20"/>
      <c r="P135" s="17"/>
      <c r="Q135" s="20"/>
      <c r="R135" s="16"/>
      <c r="S135" s="18"/>
      <c r="T135" s="13"/>
    </row>
    <row r="136" spans="1:20">
      <c r="A136" s="117"/>
      <c r="B136" s="118"/>
      <c r="C136" s="129" t="s">
        <v>282</v>
      </c>
      <c r="D136" s="128" t="s">
        <v>442</v>
      </c>
      <c r="E136" s="26"/>
      <c r="F136" s="22"/>
      <c r="G136" s="124">
        <v>0</v>
      </c>
      <c r="H136" s="125">
        <f t="shared" si="9"/>
        <v>0</v>
      </c>
      <c r="I136" s="124">
        <v>0</v>
      </c>
      <c r="J136" s="125">
        <f t="shared" si="10"/>
        <v>0</v>
      </c>
      <c r="K136" s="219">
        <f t="shared" si="11"/>
        <v>0</v>
      </c>
      <c r="M136" s="25"/>
      <c r="N136" s="15"/>
      <c r="O136" s="20"/>
      <c r="P136" s="17"/>
      <c r="Q136" s="20"/>
      <c r="R136" s="16"/>
      <c r="S136" s="18"/>
      <c r="T136" s="13"/>
    </row>
    <row r="137" spans="1:20">
      <c r="A137" s="117"/>
      <c r="B137" s="118"/>
      <c r="C137" s="127" t="s">
        <v>1072</v>
      </c>
      <c r="D137" s="128" t="s">
        <v>444</v>
      </c>
      <c r="E137" s="26"/>
      <c r="F137" s="22"/>
      <c r="G137" s="124">
        <v>0</v>
      </c>
      <c r="H137" s="125">
        <f t="shared" si="9"/>
        <v>0</v>
      </c>
      <c r="I137" s="124">
        <v>0</v>
      </c>
      <c r="J137" s="125">
        <f t="shared" si="10"/>
        <v>0</v>
      </c>
      <c r="K137" s="219">
        <f t="shared" si="11"/>
        <v>0</v>
      </c>
      <c r="M137" s="25"/>
      <c r="N137" s="15"/>
      <c r="O137" s="20"/>
      <c r="P137" s="17"/>
      <c r="Q137" s="20"/>
      <c r="R137" s="16"/>
      <c r="S137" s="18"/>
      <c r="T137" s="13"/>
    </row>
    <row r="138" spans="1:20">
      <c r="A138" s="117"/>
      <c r="B138" s="118">
        <v>5.3</v>
      </c>
      <c r="C138" s="119" t="s">
        <v>445</v>
      </c>
      <c r="D138" s="27"/>
      <c r="E138" s="26">
        <v>1</v>
      </c>
      <c r="F138" s="122" t="s">
        <v>340</v>
      </c>
      <c r="G138" s="124">
        <v>12300</v>
      </c>
      <c r="H138" s="125">
        <f t="shared" si="9"/>
        <v>12300</v>
      </c>
      <c r="I138" s="124">
        <v>5500</v>
      </c>
      <c r="J138" s="125">
        <f t="shared" si="10"/>
        <v>5500</v>
      </c>
      <c r="K138" s="219">
        <f t="shared" si="11"/>
        <v>17800</v>
      </c>
      <c r="M138" s="25"/>
      <c r="N138" s="15"/>
      <c r="O138" s="20"/>
      <c r="P138" s="17"/>
      <c r="Q138" s="20"/>
      <c r="R138" s="16"/>
      <c r="S138" s="18"/>
      <c r="T138" s="13"/>
    </row>
    <row r="139" spans="1:20">
      <c r="A139" s="117"/>
      <c r="B139" s="118"/>
      <c r="C139" s="127" t="s">
        <v>1075</v>
      </c>
      <c r="D139" s="27" t="s">
        <v>447</v>
      </c>
      <c r="E139" s="134"/>
      <c r="F139" s="22"/>
      <c r="G139" s="124">
        <v>0</v>
      </c>
      <c r="H139" s="125">
        <f t="shared" si="9"/>
        <v>0</v>
      </c>
      <c r="I139" s="124">
        <v>0</v>
      </c>
      <c r="J139" s="125">
        <f t="shared" si="10"/>
        <v>0</v>
      </c>
      <c r="K139" s="219">
        <f t="shared" si="11"/>
        <v>0</v>
      </c>
      <c r="M139" s="25"/>
      <c r="N139" s="15"/>
      <c r="O139" s="20"/>
      <c r="P139" s="17"/>
      <c r="Q139" s="20"/>
      <c r="R139" s="16"/>
      <c r="S139" s="18"/>
      <c r="T139" s="13"/>
    </row>
    <row r="140" spans="1:20">
      <c r="A140" s="117"/>
      <c r="B140" s="118"/>
      <c r="C140" s="129" t="s">
        <v>282</v>
      </c>
      <c r="D140" s="27" t="s">
        <v>438</v>
      </c>
      <c r="E140" s="26"/>
      <c r="F140" s="22"/>
      <c r="G140" s="124">
        <v>0</v>
      </c>
      <c r="H140" s="125">
        <f t="shared" si="9"/>
        <v>0</v>
      </c>
      <c r="I140" s="124">
        <v>0</v>
      </c>
      <c r="J140" s="125">
        <f t="shared" si="10"/>
        <v>0</v>
      </c>
      <c r="K140" s="219">
        <f t="shared" si="11"/>
        <v>0</v>
      </c>
      <c r="M140" s="25"/>
      <c r="N140" s="15"/>
      <c r="O140" s="20"/>
      <c r="P140" s="17"/>
      <c r="Q140" s="20"/>
      <c r="R140" s="16"/>
      <c r="S140" s="18"/>
      <c r="T140" s="13"/>
    </row>
    <row r="141" spans="1:20">
      <c r="A141" s="117"/>
      <c r="B141" s="118"/>
      <c r="C141" s="127" t="s">
        <v>1077</v>
      </c>
      <c r="D141" s="27" t="s">
        <v>449</v>
      </c>
      <c r="E141" s="26"/>
      <c r="F141" s="22"/>
      <c r="G141" s="124">
        <v>0</v>
      </c>
      <c r="H141" s="125">
        <f t="shared" si="9"/>
        <v>0</v>
      </c>
      <c r="I141" s="124">
        <v>0</v>
      </c>
      <c r="J141" s="125">
        <f t="shared" si="10"/>
        <v>0</v>
      </c>
      <c r="K141" s="219">
        <f t="shared" si="11"/>
        <v>0</v>
      </c>
      <c r="M141" s="25"/>
      <c r="N141" s="15"/>
      <c r="O141" s="20"/>
      <c r="P141" s="17"/>
      <c r="Q141" s="20"/>
      <c r="R141" s="16"/>
      <c r="S141" s="18"/>
      <c r="T141" s="13"/>
    </row>
    <row r="142" spans="1:20">
      <c r="A142" s="117"/>
      <c r="B142" s="118"/>
      <c r="C142" s="129" t="s">
        <v>282</v>
      </c>
      <c r="D142" s="27" t="s">
        <v>441</v>
      </c>
      <c r="E142" s="26"/>
      <c r="F142" s="22"/>
      <c r="G142" s="124">
        <v>0</v>
      </c>
      <c r="H142" s="125">
        <f t="shared" si="9"/>
        <v>0</v>
      </c>
      <c r="I142" s="124">
        <v>0</v>
      </c>
      <c r="J142" s="125">
        <f t="shared" si="10"/>
        <v>0</v>
      </c>
      <c r="K142" s="219">
        <f t="shared" si="11"/>
        <v>0</v>
      </c>
      <c r="M142" s="25"/>
      <c r="N142" s="15"/>
      <c r="O142" s="20"/>
      <c r="P142" s="17"/>
      <c r="Q142" s="20"/>
      <c r="R142" s="16"/>
      <c r="S142" s="18"/>
      <c r="T142" s="13"/>
    </row>
    <row r="143" spans="1:20">
      <c r="A143" s="117"/>
      <c r="B143" s="118"/>
      <c r="C143" s="129" t="s">
        <v>282</v>
      </c>
      <c r="D143" s="27" t="s">
        <v>442</v>
      </c>
      <c r="E143" s="26"/>
      <c r="F143" s="22"/>
      <c r="G143" s="124">
        <v>0</v>
      </c>
      <c r="H143" s="125">
        <f t="shared" si="9"/>
        <v>0</v>
      </c>
      <c r="I143" s="124">
        <v>0</v>
      </c>
      <c r="J143" s="125">
        <f t="shared" si="10"/>
        <v>0</v>
      </c>
      <c r="K143" s="219">
        <f t="shared" si="11"/>
        <v>0</v>
      </c>
      <c r="M143" s="25"/>
      <c r="N143" s="15"/>
      <c r="O143" s="20"/>
      <c r="P143" s="17"/>
      <c r="Q143" s="20"/>
      <c r="R143" s="16"/>
      <c r="S143" s="18"/>
      <c r="T143" s="13"/>
    </row>
    <row r="144" spans="1:20">
      <c r="A144" s="117"/>
      <c r="B144" s="118">
        <v>5.4</v>
      </c>
      <c r="C144" s="119" t="s">
        <v>450</v>
      </c>
      <c r="D144" s="128"/>
      <c r="E144" s="26">
        <v>1</v>
      </c>
      <c r="F144" s="122" t="s">
        <v>340</v>
      </c>
      <c r="G144" s="124">
        <v>0</v>
      </c>
      <c r="H144" s="125">
        <f t="shared" si="9"/>
        <v>0</v>
      </c>
      <c r="I144" s="124">
        <v>0</v>
      </c>
      <c r="J144" s="125">
        <f t="shared" si="10"/>
        <v>0</v>
      </c>
      <c r="K144" s="219">
        <f t="shared" si="11"/>
        <v>0</v>
      </c>
      <c r="M144" s="25"/>
      <c r="N144" s="15"/>
      <c r="O144" s="20"/>
      <c r="P144" s="17"/>
      <c r="Q144" s="20"/>
      <c r="R144" s="16"/>
      <c r="S144" s="18"/>
      <c r="T144" s="13"/>
    </row>
    <row r="145" spans="1:20">
      <c r="A145" s="117"/>
      <c r="B145" s="118"/>
      <c r="C145" s="127"/>
      <c r="D145" s="135"/>
      <c r="E145" s="134"/>
      <c r="F145" s="122"/>
      <c r="G145" s="124"/>
      <c r="H145" s="125"/>
      <c r="I145" s="124"/>
      <c r="J145" s="125"/>
      <c r="K145" s="219"/>
      <c r="M145" s="25"/>
      <c r="N145" s="15"/>
      <c r="O145" s="20"/>
      <c r="P145" s="17"/>
      <c r="Q145" s="20"/>
      <c r="R145" s="16"/>
      <c r="S145" s="18"/>
      <c r="T145" s="13"/>
    </row>
    <row r="146" spans="1:20">
      <c r="A146" s="136"/>
      <c r="B146" s="137"/>
      <c r="C146" s="138"/>
      <c r="D146" s="139"/>
      <c r="E146" s="140"/>
      <c r="F146" s="141"/>
      <c r="G146" s="132"/>
      <c r="H146" s="143"/>
      <c r="I146" s="143"/>
      <c r="J146" s="145"/>
      <c r="K146" s="222"/>
      <c r="M146" s="6"/>
      <c r="N146" s="7"/>
      <c r="O146" s="2"/>
      <c r="P146" s="8"/>
      <c r="Q146" s="147"/>
      <c r="R146" s="2"/>
      <c r="S146" s="9"/>
      <c r="T146" s="13"/>
    </row>
    <row r="147" spans="1:20">
      <c r="A147" s="136"/>
      <c r="B147" s="137"/>
      <c r="C147" s="138"/>
      <c r="D147" s="137" t="s">
        <v>13</v>
      </c>
      <c r="E147" s="140"/>
      <c r="F147" s="141"/>
      <c r="G147" s="132"/>
      <c r="H147" s="143">
        <f>H124+H10</f>
        <v>1430782.1999999997</v>
      </c>
      <c r="I147" s="143"/>
      <c r="J147" s="145">
        <f>J124+J10</f>
        <v>520910</v>
      </c>
      <c r="K147" s="222">
        <f>K124+K10</f>
        <v>1951692.2</v>
      </c>
      <c r="M147" s="6"/>
      <c r="N147" s="7"/>
      <c r="O147" s="2"/>
      <c r="P147" s="8"/>
      <c r="Q147" s="147"/>
      <c r="R147" s="2"/>
      <c r="S147" s="9"/>
      <c r="T147" s="13"/>
    </row>
    <row r="148" spans="1:20">
      <c r="A148" s="136"/>
      <c r="B148" s="137"/>
      <c r="C148" s="138"/>
      <c r="D148" s="148" t="s">
        <v>1445</v>
      </c>
      <c r="E148" s="140"/>
      <c r="F148" s="141"/>
      <c r="G148" s="132"/>
      <c r="H148" s="143"/>
      <c r="I148" s="143"/>
      <c r="J148" s="145"/>
      <c r="K148" s="222">
        <f>K147*10%</f>
        <v>195169.22</v>
      </c>
      <c r="M148" s="6"/>
      <c r="N148" s="7"/>
      <c r="O148" s="2"/>
      <c r="P148" s="8"/>
      <c r="Q148" s="147"/>
      <c r="R148" s="2"/>
      <c r="S148" s="9"/>
      <c r="T148" s="13"/>
    </row>
    <row r="149" spans="1:20" ht="22.5" thickBot="1">
      <c r="A149" s="1673" t="s">
        <v>1446</v>
      </c>
      <c r="B149" s="1674"/>
      <c r="C149" s="1674"/>
      <c r="D149" s="1674"/>
      <c r="E149" s="1674"/>
      <c r="F149" s="1675"/>
      <c r="G149" s="223"/>
      <c r="H149" s="223"/>
      <c r="I149" s="223"/>
      <c r="J149" s="223"/>
      <c r="K149" s="224">
        <f>K147+K148</f>
        <v>2146861.42</v>
      </c>
      <c r="M149" s="13"/>
      <c r="N149" s="13"/>
      <c r="O149" s="13"/>
      <c r="P149" s="18"/>
      <c r="Q149" s="18"/>
      <c r="R149" s="18"/>
      <c r="S149" s="18"/>
      <c r="T149" s="13"/>
    </row>
    <row r="150" spans="1:20">
      <c r="M150" s="13"/>
      <c r="N150" s="13"/>
      <c r="O150" s="13"/>
      <c r="P150" s="13"/>
      <c r="Q150" s="13"/>
      <c r="R150" s="13"/>
      <c r="S150" s="13"/>
      <c r="T150" s="13"/>
    </row>
    <row r="151" spans="1:20">
      <c r="M151" s="13"/>
      <c r="N151" s="13"/>
      <c r="O151" s="13"/>
      <c r="P151" s="13"/>
      <c r="Q151" s="13"/>
      <c r="R151" s="13"/>
      <c r="S151" s="13"/>
      <c r="T151" s="13"/>
    </row>
    <row r="154" spans="1:20">
      <c r="J154" s="225" t="s">
        <v>502</v>
      </c>
    </row>
  </sheetData>
  <mergeCells count="20">
    <mergeCell ref="A149:F149"/>
    <mergeCell ref="K7:K8"/>
    <mergeCell ref="M7:M9"/>
    <mergeCell ref="N7:N9"/>
    <mergeCell ref="O7:P7"/>
    <mergeCell ref="Q7:R7"/>
    <mergeCell ref="S7:S8"/>
    <mergeCell ref="A7:A9"/>
    <mergeCell ref="B7:D9"/>
    <mergeCell ref="E7:E9"/>
    <mergeCell ref="F7:F9"/>
    <mergeCell ref="G7:H7"/>
    <mergeCell ref="I7:J7"/>
    <mergeCell ref="J6:K6"/>
    <mergeCell ref="M6:S6"/>
    <mergeCell ref="A1:K1"/>
    <mergeCell ref="A2:K2"/>
    <mergeCell ref="A3:K3"/>
    <mergeCell ref="J4:K4"/>
    <mergeCell ref="S4:S5"/>
  </mergeCells>
  <pageMargins left="0.2" right="0.2" top="0.5" bottom="0.5" header="0.3" footer="0.3"/>
  <pageSetup paperSize="8" fitToHeight="0" orientation="landscape" r:id="rId1"/>
  <colBreaks count="1" manualBreakCount="1">
    <brk id="11" max="26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01"/>
  <sheetViews>
    <sheetView topLeftCell="A77" zoomScale="115" zoomScaleNormal="115" zoomScaleSheetLayoutView="85" workbookViewId="0">
      <selection activeCell="E44" sqref="E44"/>
    </sheetView>
  </sheetViews>
  <sheetFormatPr defaultColWidth="9.140625" defaultRowHeight="21.75"/>
  <cols>
    <col min="1" max="1" width="8.140625" style="12" customWidth="1"/>
    <col min="2" max="2" width="5.140625" style="12" customWidth="1"/>
    <col min="3" max="3" width="6.42578125" style="28" customWidth="1"/>
    <col min="4" max="4" width="58.85546875" style="12" customWidth="1"/>
    <col min="5" max="5" width="10.7109375" style="12" customWidth="1"/>
    <col min="6" max="6" width="7.42578125" style="12" customWidth="1"/>
    <col min="7" max="10" width="15.28515625" style="12" customWidth="1"/>
    <col min="11" max="11" width="19" style="29" customWidth="1"/>
    <col min="12" max="12" width="9.85546875" style="161" hidden="1" customWidth="1"/>
    <col min="13" max="13" width="8.42578125" style="161" hidden="1" customWidth="1"/>
    <col min="14" max="14" width="10.7109375" style="161" hidden="1" customWidth="1"/>
    <col min="15" max="16" width="10.42578125" style="12" hidden="1" customWidth="1"/>
    <col min="17" max="19" width="14.140625" style="12" customWidth="1"/>
    <col min="20" max="16384" width="9.140625" style="12"/>
  </cols>
  <sheetData>
    <row r="1" spans="1:20" s="10" customFormat="1" ht="39" hidden="1" thickBot="1">
      <c r="A1" s="1660" t="s">
        <v>0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2"/>
      <c r="L1" s="151"/>
      <c r="M1" s="151"/>
      <c r="N1" s="151"/>
    </row>
    <row r="2" spans="1:20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5"/>
      <c r="L2" s="151"/>
      <c r="M2" s="152"/>
      <c r="N2" s="152"/>
      <c r="O2" s="11"/>
      <c r="P2" s="11"/>
      <c r="Q2" s="11"/>
      <c r="R2" s="11"/>
      <c r="S2" s="11"/>
      <c r="T2" s="11"/>
    </row>
    <row r="3" spans="1:20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8"/>
      <c r="L3" s="151"/>
      <c r="M3" s="152"/>
      <c r="N3" s="152"/>
      <c r="O3" s="11"/>
      <c r="P3" s="11"/>
      <c r="Q3" s="11"/>
      <c r="R3" s="11"/>
      <c r="S3" s="11"/>
      <c r="T3" s="11"/>
    </row>
    <row r="4" spans="1:20" s="10" customFormat="1" ht="26.25" customHeight="1">
      <c r="A4" s="153" t="s">
        <v>1</v>
      </c>
      <c r="B4" s="89"/>
      <c r="C4" s="90"/>
      <c r="D4" s="89" t="s">
        <v>1443</v>
      </c>
      <c r="E4" s="91"/>
      <c r="F4" s="92"/>
      <c r="G4" s="92"/>
      <c r="H4" s="91"/>
      <c r="I4" s="154" t="s">
        <v>108</v>
      </c>
      <c r="J4" s="98" t="s">
        <v>1550</v>
      </c>
      <c r="K4" s="99"/>
      <c r="L4" s="151"/>
      <c r="M4" s="152"/>
      <c r="N4" s="152"/>
      <c r="O4" s="11"/>
      <c r="P4" s="11"/>
      <c r="Q4" s="11"/>
      <c r="R4" s="11"/>
      <c r="S4" s="1669"/>
      <c r="T4" s="11"/>
    </row>
    <row r="5" spans="1:20" s="10" customFormat="1" ht="27" customHeight="1">
      <c r="A5" s="155" t="s">
        <v>109</v>
      </c>
      <c r="B5" s="94"/>
      <c r="C5" s="95"/>
      <c r="D5" s="94" t="s">
        <v>110</v>
      </c>
      <c r="E5" s="96"/>
      <c r="F5" s="97"/>
      <c r="G5" s="97"/>
      <c r="H5" s="96"/>
      <c r="I5" s="154" t="s">
        <v>111</v>
      </c>
      <c r="J5" s="98"/>
      <c r="K5" s="99"/>
      <c r="L5" s="151"/>
      <c r="M5" s="152"/>
      <c r="N5" s="152"/>
      <c r="O5" s="11"/>
      <c r="P5" s="11"/>
      <c r="Q5" s="11"/>
      <c r="R5" s="11"/>
      <c r="S5" s="1669"/>
      <c r="T5" s="11"/>
    </row>
    <row r="6" spans="1:20" s="10" customFormat="1" ht="27" thickBot="1">
      <c r="A6" s="156" t="s">
        <v>3</v>
      </c>
      <c r="B6" s="101"/>
      <c r="C6" s="102"/>
      <c r="D6" s="101" t="s">
        <v>112</v>
      </c>
      <c r="E6" s="103"/>
      <c r="F6" s="104"/>
      <c r="G6" s="104"/>
      <c r="H6" s="103"/>
      <c r="I6" s="157" t="s">
        <v>113</v>
      </c>
      <c r="J6" s="158" t="s">
        <v>1551</v>
      </c>
      <c r="K6" s="159"/>
      <c r="L6" s="151"/>
      <c r="M6" s="1670"/>
      <c r="N6" s="1670"/>
      <c r="O6" s="1670"/>
      <c r="P6" s="1670"/>
      <c r="Q6" s="1670"/>
      <c r="R6" s="1670"/>
      <c r="S6" s="1670"/>
      <c r="T6" s="11"/>
    </row>
    <row r="7" spans="1:20" s="28" customFormat="1">
      <c r="A7" s="1687" t="s">
        <v>6</v>
      </c>
      <c r="B7" s="1692" t="s">
        <v>7</v>
      </c>
      <c r="C7" s="1693"/>
      <c r="D7" s="1694"/>
      <c r="E7" s="1699" t="s">
        <v>8</v>
      </c>
      <c r="F7" s="1702" t="s">
        <v>9</v>
      </c>
      <c r="G7" s="1817" t="s">
        <v>10</v>
      </c>
      <c r="H7" s="1818"/>
      <c r="I7" s="1817" t="s">
        <v>11</v>
      </c>
      <c r="J7" s="1818"/>
      <c r="K7" s="1819" t="s">
        <v>13</v>
      </c>
      <c r="L7" s="160"/>
      <c r="M7" s="1844"/>
      <c r="N7" s="1845"/>
      <c r="O7" s="1671"/>
      <c r="P7" s="1671"/>
      <c r="Q7" s="1671"/>
      <c r="R7" s="1671"/>
      <c r="S7" s="1672"/>
      <c r="T7" s="15"/>
    </row>
    <row r="8" spans="1:20" s="28" customFormat="1">
      <c r="A8" s="1687"/>
      <c r="B8" s="1692"/>
      <c r="C8" s="1693"/>
      <c r="D8" s="1694"/>
      <c r="E8" s="1699"/>
      <c r="F8" s="1702"/>
      <c r="G8" s="105" t="s">
        <v>9</v>
      </c>
      <c r="H8" s="106" t="s">
        <v>13</v>
      </c>
      <c r="I8" s="105" t="s">
        <v>9</v>
      </c>
      <c r="J8" s="106" t="s">
        <v>13</v>
      </c>
      <c r="K8" s="1819"/>
      <c r="L8" s="160"/>
      <c r="M8" s="1844"/>
      <c r="N8" s="1845"/>
      <c r="O8" s="1"/>
      <c r="P8" s="3"/>
      <c r="Q8" s="3"/>
      <c r="R8" s="3"/>
      <c r="S8" s="1672"/>
      <c r="T8" s="15"/>
    </row>
    <row r="9" spans="1:20" s="28" customFormat="1">
      <c r="A9" s="1688"/>
      <c r="B9" s="1695"/>
      <c r="C9" s="1696"/>
      <c r="D9" s="1697"/>
      <c r="E9" s="1700"/>
      <c r="F9" s="1703"/>
      <c r="G9" s="107" t="s">
        <v>115</v>
      </c>
      <c r="H9" s="108" t="s">
        <v>14</v>
      </c>
      <c r="I9" s="107" t="s">
        <v>115</v>
      </c>
      <c r="J9" s="108" t="s">
        <v>14</v>
      </c>
      <c r="K9" s="109" t="s">
        <v>14</v>
      </c>
      <c r="L9" s="160"/>
      <c r="M9" s="1844"/>
      <c r="N9" s="1845"/>
      <c r="O9" s="1"/>
      <c r="P9" s="3"/>
      <c r="Q9" s="3"/>
      <c r="R9" s="3"/>
      <c r="S9" s="3"/>
      <c r="T9" s="15"/>
    </row>
    <row r="10" spans="1:20">
      <c r="A10" s="110">
        <v>3</v>
      </c>
      <c r="B10" s="111"/>
      <c r="C10" s="112"/>
      <c r="D10" s="113" t="s">
        <v>451</v>
      </c>
      <c r="E10" s="114"/>
      <c r="F10" s="115"/>
      <c r="G10" s="116"/>
      <c r="H10" s="116"/>
      <c r="I10" s="116"/>
      <c r="J10" s="116"/>
      <c r="K10" s="133"/>
      <c r="M10" s="162"/>
      <c r="N10" s="163"/>
      <c r="O10" s="16"/>
      <c r="P10" s="16"/>
      <c r="Q10" s="16"/>
      <c r="R10" s="16"/>
      <c r="S10" s="16"/>
      <c r="T10" s="13"/>
    </row>
    <row r="11" spans="1:20">
      <c r="A11" s="117"/>
      <c r="B11" s="118">
        <v>3.1</v>
      </c>
      <c r="C11" s="127"/>
      <c r="D11" s="164" t="s">
        <v>1552</v>
      </c>
      <c r="E11" s="121"/>
      <c r="F11" s="122"/>
      <c r="G11" s="123"/>
      <c r="H11" s="124"/>
      <c r="I11" s="123"/>
      <c r="J11" s="125"/>
      <c r="K11" s="126"/>
      <c r="M11" s="165"/>
      <c r="N11" s="163"/>
      <c r="O11" s="20"/>
      <c r="P11" s="17"/>
      <c r="Q11" s="20"/>
      <c r="R11" s="16"/>
      <c r="S11" s="18"/>
      <c r="T11" s="13"/>
    </row>
    <row r="12" spans="1:20" s="13" customFormat="1">
      <c r="A12" s="32"/>
      <c r="B12" s="31"/>
      <c r="C12" s="33" t="s">
        <v>280</v>
      </c>
      <c r="D12" s="34" t="s">
        <v>1553</v>
      </c>
      <c r="E12" s="30">
        <v>20</v>
      </c>
      <c r="F12" s="22" t="s">
        <v>87</v>
      </c>
      <c r="G12" s="23">
        <v>1670</v>
      </c>
      <c r="H12" s="35">
        <f>E12*G12</f>
        <v>33400</v>
      </c>
      <c r="I12" s="23">
        <v>450</v>
      </c>
      <c r="J12" s="36">
        <f>E12*I12</f>
        <v>9000</v>
      </c>
      <c r="K12" s="37">
        <f>H12+J12</f>
        <v>42400</v>
      </c>
      <c r="L12" s="23">
        <f>1558*1.07</f>
        <v>1667.0600000000002</v>
      </c>
      <c r="M12" s="165"/>
      <c r="N12" s="163"/>
      <c r="O12" s="20"/>
      <c r="P12" s="17"/>
      <c r="Q12" s="20"/>
      <c r="R12" s="16"/>
      <c r="S12" s="18"/>
    </row>
    <row r="13" spans="1:20" s="13" customFormat="1">
      <c r="A13" s="32"/>
      <c r="B13" s="31"/>
      <c r="C13" s="33" t="s">
        <v>291</v>
      </c>
      <c r="D13" s="34" t="s">
        <v>1554</v>
      </c>
      <c r="E13" s="30">
        <v>20</v>
      </c>
      <c r="F13" s="22" t="s">
        <v>87</v>
      </c>
      <c r="G13" s="23">
        <v>458</v>
      </c>
      <c r="H13" s="35">
        <f t="shared" ref="H13:H45" si="0">E13*G13</f>
        <v>9160</v>
      </c>
      <c r="I13" s="23">
        <v>330</v>
      </c>
      <c r="J13" s="36">
        <f t="shared" ref="J13:J45" si="1">E13*I13</f>
        <v>6600</v>
      </c>
      <c r="K13" s="37">
        <f t="shared" ref="K13:K45" si="2">H13+J13</f>
        <v>15760</v>
      </c>
      <c r="L13" s="166">
        <f>428*1.07</f>
        <v>457.96000000000004</v>
      </c>
      <c r="M13" s="165"/>
      <c r="N13" s="163"/>
      <c r="O13" s="20"/>
      <c r="P13" s="17"/>
      <c r="Q13" s="20"/>
      <c r="R13" s="16"/>
      <c r="S13" s="18"/>
    </row>
    <row r="14" spans="1:20" s="13" customFormat="1" ht="21.75" customHeight="1">
      <c r="A14" s="32"/>
      <c r="B14" s="31"/>
      <c r="C14" s="33" t="s">
        <v>297</v>
      </c>
      <c r="D14" s="34" t="s">
        <v>1555</v>
      </c>
      <c r="E14" s="30">
        <v>20</v>
      </c>
      <c r="F14" s="22" t="s">
        <v>87</v>
      </c>
      <c r="G14" s="23">
        <v>910</v>
      </c>
      <c r="H14" s="35">
        <f t="shared" si="0"/>
        <v>18200</v>
      </c>
      <c r="I14" s="23">
        <v>120</v>
      </c>
      <c r="J14" s="36">
        <f t="shared" si="1"/>
        <v>2400</v>
      </c>
      <c r="K14" s="37">
        <f t="shared" si="2"/>
        <v>20600</v>
      </c>
      <c r="L14" s="23">
        <f>846*1.07</f>
        <v>905.22</v>
      </c>
      <c r="M14" s="165"/>
      <c r="N14" s="163"/>
      <c r="O14" s="20"/>
      <c r="P14" s="17"/>
      <c r="Q14" s="20"/>
      <c r="R14" s="16"/>
      <c r="S14" s="18"/>
    </row>
    <row r="15" spans="1:20" s="13" customFormat="1">
      <c r="A15" s="32"/>
      <c r="B15" s="31"/>
      <c r="C15" s="33" t="s">
        <v>300</v>
      </c>
      <c r="D15" s="34" t="s">
        <v>1556</v>
      </c>
      <c r="E15" s="30">
        <v>20</v>
      </c>
      <c r="F15" s="22" t="s">
        <v>87</v>
      </c>
      <c r="G15" s="23">
        <v>195</v>
      </c>
      <c r="H15" s="35">
        <f t="shared" si="0"/>
        <v>3900</v>
      </c>
      <c r="I15" s="23">
        <v>70</v>
      </c>
      <c r="J15" s="36">
        <f t="shared" si="1"/>
        <v>1400</v>
      </c>
      <c r="K15" s="37">
        <f t="shared" si="2"/>
        <v>5300</v>
      </c>
      <c r="L15" s="167">
        <f>180*1.07</f>
        <v>192.60000000000002</v>
      </c>
      <c r="M15" s="165"/>
      <c r="N15" s="163"/>
      <c r="O15" s="20"/>
      <c r="P15" s="17"/>
      <c r="Q15" s="20"/>
      <c r="R15" s="16"/>
      <c r="S15" s="18"/>
    </row>
    <row r="16" spans="1:20" s="13" customFormat="1">
      <c r="A16" s="32"/>
      <c r="B16" s="31"/>
      <c r="C16" s="33" t="s">
        <v>1557</v>
      </c>
      <c r="D16" s="168" t="s">
        <v>1558</v>
      </c>
      <c r="E16" s="30">
        <v>20</v>
      </c>
      <c r="F16" s="22" t="s">
        <v>87</v>
      </c>
      <c r="G16" s="23">
        <v>380</v>
      </c>
      <c r="H16" s="35">
        <f t="shared" si="0"/>
        <v>7600</v>
      </c>
      <c r="I16" s="23">
        <v>70</v>
      </c>
      <c r="J16" s="36">
        <f t="shared" si="1"/>
        <v>1400</v>
      </c>
      <c r="K16" s="37">
        <f t="shared" si="2"/>
        <v>9000</v>
      </c>
      <c r="L16" s="23">
        <f>351*1.07</f>
        <v>375.57000000000005</v>
      </c>
      <c r="M16" s="165"/>
      <c r="N16" s="163"/>
      <c r="O16" s="20"/>
      <c r="P16" s="17"/>
      <c r="Q16" s="20"/>
      <c r="R16" s="16"/>
      <c r="S16" s="18"/>
    </row>
    <row r="17" spans="1:19" s="13" customFormat="1">
      <c r="A17" s="32"/>
      <c r="B17" s="31"/>
      <c r="C17" s="33" t="s">
        <v>1559</v>
      </c>
      <c r="D17" s="34" t="s">
        <v>1560</v>
      </c>
      <c r="E17" s="30">
        <v>20</v>
      </c>
      <c r="F17" s="22" t="s">
        <v>87</v>
      </c>
      <c r="G17" s="23">
        <v>140</v>
      </c>
      <c r="H17" s="35">
        <f t="shared" si="0"/>
        <v>2800</v>
      </c>
      <c r="I17" s="23">
        <v>70</v>
      </c>
      <c r="J17" s="36">
        <f t="shared" si="1"/>
        <v>1400</v>
      </c>
      <c r="K17" s="37">
        <f t="shared" si="2"/>
        <v>4200</v>
      </c>
      <c r="L17" s="167">
        <f>130*1.07</f>
        <v>139.1</v>
      </c>
      <c r="M17" s="165"/>
      <c r="N17" s="163"/>
      <c r="O17" s="20"/>
      <c r="P17" s="17"/>
      <c r="Q17" s="20"/>
      <c r="R17" s="16"/>
      <c r="S17" s="18"/>
    </row>
    <row r="18" spans="1:19" s="13" customFormat="1">
      <c r="A18" s="32"/>
      <c r="B18" s="31"/>
      <c r="C18" s="33" t="s">
        <v>1561</v>
      </c>
      <c r="D18" s="34" t="s">
        <v>1562</v>
      </c>
      <c r="E18" s="30">
        <v>20</v>
      </c>
      <c r="F18" s="22" t="s">
        <v>87</v>
      </c>
      <c r="G18" s="23">
        <v>366</v>
      </c>
      <c r="H18" s="35">
        <f t="shared" si="0"/>
        <v>7320</v>
      </c>
      <c r="I18" s="23">
        <v>70</v>
      </c>
      <c r="J18" s="36">
        <f t="shared" si="1"/>
        <v>1400</v>
      </c>
      <c r="K18" s="37">
        <f t="shared" si="2"/>
        <v>8720</v>
      </c>
      <c r="L18" s="167">
        <f>342*1.07</f>
        <v>365.94</v>
      </c>
      <c r="M18" s="165"/>
      <c r="N18" s="163"/>
      <c r="O18" s="20"/>
      <c r="P18" s="17"/>
      <c r="Q18" s="20"/>
      <c r="R18" s="16"/>
      <c r="S18" s="18"/>
    </row>
    <row r="19" spans="1:19" s="13" customFormat="1">
      <c r="A19" s="32"/>
      <c r="B19" s="31"/>
      <c r="C19" s="33" t="s">
        <v>1563</v>
      </c>
      <c r="D19" s="169" t="s">
        <v>1564</v>
      </c>
      <c r="E19" s="30">
        <v>20</v>
      </c>
      <c r="F19" s="22" t="s">
        <v>87</v>
      </c>
      <c r="G19" s="23">
        <v>505</v>
      </c>
      <c r="H19" s="35">
        <f t="shared" si="0"/>
        <v>10100</v>
      </c>
      <c r="I19" s="23">
        <v>70</v>
      </c>
      <c r="J19" s="36">
        <f t="shared" si="1"/>
        <v>1400</v>
      </c>
      <c r="K19" s="37">
        <f t="shared" si="2"/>
        <v>11500</v>
      </c>
      <c r="L19" s="23">
        <f>470*1.07</f>
        <v>502.90000000000003</v>
      </c>
      <c r="M19" s="165"/>
      <c r="N19" s="163"/>
      <c r="O19" s="20"/>
      <c r="P19" s="17"/>
      <c r="Q19" s="20"/>
      <c r="R19" s="16"/>
      <c r="S19" s="18"/>
    </row>
    <row r="20" spans="1:19" s="13" customFormat="1" ht="22.5" customHeight="1">
      <c r="A20" s="32"/>
      <c r="B20" s="31"/>
      <c r="C20" s="33" t="s">
        <v>1565</v>
      </c>
      <c r="D20" s="34" t="s">
        <v>1566</v>
      </c>
      <c r="E20" s="30">
        <v>20</v>
      </c>
      <c r="F20" s="22" t="s">
        <v>87</v>
      </c>
      <c r="G20" s="23">
        <v>215</v>
      </c>
      <c r="H20" s="35">
        <f t="shared" si="0"/>
        <v>4300</v>
      </c>
      <c r="I20" s="23">
        <v>70</v>
      </c>
      <c r="J20" s="36">
        <f t="shared" si="1"/>
        <v>1400</v>
      </c>
      <c r="K20" s="37">
        <f t="shared" si="2"/>
        <v>5700</v>
      </c>
      <c r="L20" s="167">
        <f>199*1.07</f>
        <v>212.93</v>
      </c>
      <c r="M20" s="165"/>
      <c r="N20" s="163"/>
      <c r="O20" s="20"/>
      <c r="P20" s="17"/>
      <c r="Q20" s="20"/>
      <c r="R20" s="16"/>
      <c r="S20" s="18"/>
    </row>
    <row r="21" spans="1:19" s="13" customFormat="1">
      <c r="A21" s="32"/>
      <c r="B21" s="31"/>
      <c r="C21" s="33" t="s">
        <v>1567</v>
      </c>
      <c r="D21" s="34" t="s">
        <v>1568</v>
      </c>
      <c r="E21" s="30">
        <v>23</v>
      </c>
      <c r="F21" s="22" t="s">
        <v>87</v>
      </c>
      <c r="G21" s="23">
        <v>185</v>
      </c>
      <c r="H21" s="35">
        <f t="shared" si="0"/>
        <v>4255</v>
      </c>
      <c r="I21" s="23">
        <v>25</v>
      </c>
      <c r="J21" s="36">
        <f t="shared" si="1"/>
        <v>575</v>
      </c>
      <c r="K21" s="37">
        <f t="shared" si="2"/>
        <v>4830</v>
      </c>
      <c r="L21" s="167">
        <f>170*1.07</f>
        <v>181.9</v>
      </c>
      <c r="M21" s="165"/>
      <c r="N21" s="163"/>
      <c r="O21" s="20"/>
      <c r="P21" s="17"/>
      <c r="Q21" s="20"/>
      <c r="R21" s="16"/>
      <c r="S21" s="18"/>
    </row>
    <row r="22" spans="1:19" s="13" customFormat="1">
      <c r="A22" s="32"/>
      <c r="B22" s="31"/>
      <c r="C22" s="33" t="s">
        <v>1569</v>
      </c>
      <c r="D22" s="34" t="s">
        <v>1570</v>
      </c>
      <c r="E22" s="30">
        <v>20</v>
      </c>
      <c r="F22" s="22" t="s">
        <v>87</v>
      </c>
      <c r="G22" s="23">
        <v>210</v>
      </c>
      <c r="H22" s="35">
        <f t="shared" si="0"/>
        <v>4200</v>
      </c>
      <c r="I22" s="23">
        <v>70</v>
      </c>
      <c r="J22" s="36">
        <f t="shared" si="1"/>
        <v>1400</v>
      </c>
      <c r="K22" s="37">
        <f t="shared" si="2"/>
        <v>5600</v>
      </c>
      <c r="L22" s="167">
        <f>195*1.07</f>
        <v>208.65</v>
      </c>
      <c r="M22" s="165"/>
      <c r="N22" s="163"/>
      <c r="O22" s="20"/>
      <c r="P22" s="17"/>
      <c r="Q22" s="20"/>
      <c r="R22" s="16"/>
      <c r="S22" s="18"/>
    </row>
    <row r="23" spans="1:19" s="13" customFormat="1">
      <c r="A23" s="32"/>
      <c r="B23" s="31"/>
      <c r="C23" s="33" t="s">
        <v>1571</v>
      </c>
      <c r="D23" s="34" t="s">
        <v>1572</v>
      </c>
      <c r="E23" s="30"/>
      <c r="F23" s="22"/>
      <c r="G23" s="23"/>
      <c r="H23" s="35"/>
      <c r="I23" s="23"/>
      <c r="J23" s="36"/>
      <c r="K23" s="37"/>
      <c r="L23" s="167"/>
      <c r="M23" s="165"/>
      <c r="N23" s="163"/>
      <c r="O23" s="20"/>
      <c r="P23" s="17"/>
      <c r="Q23" s="20"/>
      <c r="R23" s="16"/>
      <c r="S23" s="18"/>
    </row>
    <row r="24" spans="1:19" s="13" customFormat="1">
      <c r="A24" s="32"/>
      <c r="B24" s="31"/>
      <c r="C24" s="170" t="s">
        <v>282</v>
      </c>
      <c r="D24" s="34" t="s">
        <v>1573</v>
      </c>
      <c r="E24" s="30">
        <v>3</v>
      </c>
      <c r="F24" s="22" t="s">
        <v>87</v>
      </c>
      <c r="G24" s="23">
        <v>4175</v>
      </c>
      <c r="H24" s="35">
        <f t="shared" ref="H24:H26" si="3">E24*G24</f>
        <v>12525</v>
      </c>
      <c r="I24" s="23">
        <v>550</v>
      </c>
      <c r="J24" s="36">
        <f t="shared" ref="J24:J26" si="4">E24*I24</f>
        <v>1650</v>
      </c>
      <c r="K24" s="37">
        <f t="shared" ref="K24:K26" si="5">H24+J24</f>
        <v>14175</v>
      </c>
      <c r="L24" s="167">
        <f>3900*1.07</f>
        <v>4173</v>
      </c>
      <c r="M24" s="165"/>
      <c r="N24" s="163"/>
      <c r="O24" s="20"/>
      <c r="P24" s="17"/>
      <c r="Q24" s="20"/>
      <c r="R24" s="16"/>
      <c r="S24" s="18"/>
    </row>
    <row r="25" spans="1:19" s="13" customFormat="1">
      <c r="A25" s="32"/>
      <c r="B25" s="31"/>
      <c r="C25" s="170" t="s">
        <v>282</v>
      </c>
      <c r="D25" s="34" t="s">
        <v>1574</v>
      </c>
      <c r="E25" s="30">
        <v>17</v>
      </c>
      <c r="F25" s="22" t="s">
        <v>87</v>
      </c>
      <c r="G25" s="23">
        <v>0</v>
      </c>
      <c r="H25" s="35">
        <f t="shared" si="3"/>
        <v>0</v>
      </c>
      <c r="I25" s="23">
        <v>550</v>
      </c>
      <c r="J25" s="36">
        <f t="shared" si="4"/>
        <v>9350</v>
      </c>
      <c r="K25" s="37">
        <f t="shared" si="5"/>
        <v>9350</v>
      </c>
      <c r="L25" s="167">
        <f>3900*1.07</f>
        <v>4173</v>
      </c>
      <c r="M25" s="165"/>
      <c r="N25" s="163"/>
      <c r="O25" s="20"/>
      <c r="P25" s="17"/>
      <c r="Q25" s="20"/>
      <c r="R25" s="16"/>
      <c r="S25" s="18"/>
    </row>
    <row r="26" spans="1:19" s="13" customFormat="1">
      <c r="A26" s="32"/>
      <c r="B26" s="31"/>
      <c r="C26" s="33" t="s">
        <v>1575</v>
      </c>
      <c r="D26" s="34" t="s">
        <v>1576</v>
      </c>
      <c r="E26" s="30">
        <v>1</v>
      </c>
      <c r="F26" s="22" t="s">
        <v>481</v>
      </c>
      <c r="G26" s="23">
        <v>2785</v>
      </c>
      <c r="H26" s="35">
        <f t="shared" si="3"/>
        <v>2785</v>
      </c>
      <c r="I26" s="23">
        <v>300</v>
      </c>
      <c r="J26" s="36">
        <f t="shared" si="4"/>
        <v>300</v>
      </c>
      <c r="K26" s="37">
        <f t="shared" si="5"/>
        <v>3085</v>
      </c>
      <c r="L26" s="167">
        <f>2600*1.07</f>
        <v>2782</v>
      </c>
      <c r="M26" s="165"/>
      <c r="N26" s="163"/>
      <c r="O26" s="20"/>
      <c r="P26" s="17"/>
      <c r="Q26" s="20"/>
      <c r="R26" s="16"/>
      <c r="S26" s="18"/>
    </row>
    <row r="27" spans="1:19" s="13" customFormat="1">
      <c r="A27" s="32"/>
      <c r="B27" s="31"/>
      <c r="C27" s="33" t="s">
        <v>1577</v>
      </c>
      <c r="D27" s="34" t="s">
        <v>483</v>
      </c>
      <c r="E27" s="30">
        <v>1</v>
      </c>
      <c r="F27" s="22" t="s">
        <v>277</v>
      </c>
      <c r="G27" s="23">
        <v>10000</v>
      </c>
      <c r="H27" s="35">
        <f t="shared" si="0"/>
        <v>10000</v>
      </c>
      <c r="I27" s="23">
        <v>5500</v>
      </c>
      <c r="J27" s="36">
        <f t="shared" si="1"/>
        <v>5500</v>
      </c>
      <c r="K27" s="37">
        <f t="shared" si="2"/>
        <v>15500</v>
      </c>
      <c r="L27" s="167"/>
      <c r="M27" s="165"/>
      <c r="N27" s="163"/>
      <c r="O27" s="20"/>
      <c r="P27" s="17"/>
      <c r="Q27" s="20"/>
      <c r="R27" s="16"/>
      <c r="S27" s="18"/>
    </row>
    <row r="28" spans="1:19" s="13" customFormat="1">
      <c r="A28" s="32"/>
      <c r="B28" s="31">
        <v>3.2</v>
      </c>
      <c r="C28" s="33"/>
      <c r="D28" s="171" t="s">
        <v>484</v>
      </c>
      <c r="E28" s="30"/>
      <c r="F28" s="22"/>
      <c r="G28" s="23"/>
      <c r="H28" s="35"/>
      <c r="I28" s="23"/>
      <c r="J28" s="36"/>
      <c r="K28" s="37"/>
      <c r="L28" s="167"/>
      <c r="M28" s="165"/>
      <c r="N28" s="163"/>
      <c r="O28" s="20"/>
      <c r="P28" s="17"/>
      <c r="Q28" s="20"/>
      <c r="R28" s="16"/>
      <c r="S28" s="18"/>
    </row>
    <row r="29" spans="1:19" s="13" customFormat="1">
      <c r="A29" s="32"/>
      <c r="B29" s="31"/>
      <c r="C29" s="33" t="s">
        <v>305</v>
      </c>
      <c r="D29" s="34" t="s">
        <v>485</v>
      </c>
      <c r="E29" s="30"/>
      <c r="F29" s="22"/>
      <c r="G29" s="23"/>
      <c r="H29" s="35"/>
      <c r="I29" s="23"/>
      <c r="J29" s="36"/>
      <c r="K29" s="37"/>
      <c r="L29" s="167"/>
      <c r="M29" s="165" t="s">
        <v>1578</v>
      </c>
      <c r="N29" s="163"/>
      <c r="O29" s="20" t="s">
        <v>1579</v>
      </c>
      <c r="P29" s="17"/>
      <c r="Q29" s="20"/>
      <c r="R29" s="16"/>
      <c r="S29" s="18"/>
    </row>
    <row r="30" spans="1:19" s="13" customFormat="1">
      <c r="A30" s="32"/>
      <c r="B30" s="31"/>
      <c r="C30" s="33"/>
      <c r="D30" s="172" t="s">
        <v>1580</v>
      </c>
      <c r="E30" s="30">
        <v>390</v>
      </c>
      <c r="F30" s="22" t="s">
        <v>185</v>
      </c>
      <c r="G30" s="23">
        <v>15</v>
      </c>
      <c r="H30" s="35">
        <f t="shared" si="0"/>
        <v>5850</v>
      </c>
      <c r="I30" s="23">
        <v>5</v>
      </c>
      <c r="J30" s="36">
        <f t="shared" si="1"/>
        <v>1950</v>
      </c>
      <c r="K30" s="37">
        <f t="shared" si="2"/>
        <v>7800</v>
      </c>
      <c r="L30" s="167">
        <f>(53*1.07)/4</f>
        <v>14.1775</v>
      </c>
      <c r="M30" s="165">
        <f>G30*0.35</f>
        <v>5.25</v>
      </c>
      <c r="N30" s="163"/>
      <c r="O30" s="20">
        <f>(12*21)+(6*21)+4</f>
        <v>382</v>
      </c>
      <c r="P30" s="17"/>
      <c r="Q30" s="20"/>
      <c r="R30" s="16"/>
      <c r="S30" s="18"/>
    </row>
    <row r="31" spans="1:19" s="13" customFormat="1">
      <c r="A31" s="32"/>
      <c r="B31" s="31"/>
      <c r="C31" s="33"/>
      <c r="D31" s="172" t="s">
        <v>1581</v>
      </c>
      <c r="E31" s="30">
        <v>138</v>
      </c>
      <c r="F31" s="22" t="s">
        <v>185</v>
      </c>
      <c r="G31" s="23">
        <v>46</v>
      </c>
      <c r="H31" s="35">
        <f t="shared" si="0"/>
        <v>6348</v>
      </c>
      <c r="I31" s="23">
        <v>16</v>
      </c>
      <c r="J31" s="36">
        <f t="shared" si="1"/>
        <v>2208</v>
      </c>
      <c r="K31" s="37">
        <f t="shared" si="2"/>
        <v>8556</v>
      </c>
      <c r="L31" s="167">
        <f>(170*1.07)/4</f>
        <v>45.475000000000001</v>
      </c>
      <c r="M31" s="165">
        <f t="shared" ref="M31:M36" si="6">G31*0.35</f>
        <v>16.099999999999998</v>
      </c>
      <c r="N31" s="163"/>
      <c r="O31" s="20">
        <f>(58+72)</f>
        <v>130</v>
      </c>
      <c r="P31" s="17"/>
      <c r="Q31" s="20"/>
      <c r="R31" s="16"/>
      <c r="S31" s="18"/>
    </row>
    <row r="32" spans="1:19" s="13" customFormat="1">
      <c r="A32" s="32"/>
      <c r="B32" s="31"/>
      <c r="C32" s="33"/>
      <c r="D32" s="172" t="s">
        <v>1582</v>
      </c>
      <c r="E32" s="30">
        <v>114</v>
      </c>
      <c r="F32" s="22" t="s">
        <v>185</v>
      </c>
      <c r="G32" s="23">
        <v>19</v>
      </c>
      <c r="H32" s="35">
        <f t="shared" si="0"/>
        <v>2166</v>
      </c>
      <c r="I32" s="23">
        <v>7</v>
      </c>
      <c r="J32" s="36">
        <f t="shared" si="1"/>
        <v>798</v>
      </c>
      <c r="K32" s="37">
        <f t="shared" si="2"/>
        <v>2964</v>
      </c>
      <c r="L32" s="167">
        <f>(70*1.07)/4</f>
        <v>18.725000000000001</v>
      </c>
      <c r="M32" s="165">
        <f t="shared" si="6"/>
        <v>6.6499999999999995</v>
      </c>
      <c r="N32" s="163"/>
      <c r="O32" s="20">
        <f>(45*2)+(4*4)</f>
        <v>106</v>
      </c>
      <c r="P32" s="17"/>
      <c r="Q32" s="20"/>
      <c r="R32" s="16"/>
      <c r="S32" s="18"/>
    </row>
    <row r="33" spans="1:20" s="13" customFormat="1">
      <c r="A33" s="32"/>
      <c r="B33" s="31"/>
      <c r="C33" s="33"/>
      <c r="D33" s="172" t="s">
        <v>1583</v>
      </c>
      <c r="E33" s="30">
        <v>54</v>
      </c>
      <c r="F33" s="22" t="s">
        <v>185</v>
      </c>
      <c r="G33" s="23">
        <v>49</v>
      </c>
      <c r="H33" s="35">
        <f t="shared" si="0"/>
        <v>2646</v>
      </c>
      <c r="I33" s="23">
        <v>17</v>
      </c>
      <c r="J33" s="36">
        <f t="shared" si="1"/>
        <v>918</v>
      </c>
      <c r="K33" s="37">
        <f t="shared" si="2"/>
        <v>3564</v>
      </c>
      <c r="L33" s="167">
        <f>(180*1.07)/4</f>
        <v>48.150000000000006</v>
      </c>
      <c r="M33" s="165">
        <f t="shared" si="6"/>
        <v>17.149999999999999</v>
      </c>
      <c r="N33" s="163"/>
      <c r="O33" s="20">
        <f>(2*21)+(4)</f>
        <v>46</v>
      </c>
      <c r="P33" s="17"/>
      <c r="Q33" s="20"/>
      <c r="R33" s="16"/>
      <c r="S33" s="18"/>
    </row>
    <row r="34" spans="1:20" s="13" customFormat="1">
      <c r="A34" s="32"/>
      <c r="B34" s="31"/>
      <c r="C34" s="33"/>
      <c r="D34" s="172" t="s">
        <v>1584</v>
      </c>
      <c r="E34" s="30">
        <v>218</v>
      </c>
      <c r="F34" s="22" t="s">
        <v>185</v>
      </c>
      <c r="G34" s="23">
        <v>106</v>
      </c>
      <c r="H34" s="35">
        <f t="shared" si="0"/>
        <v>23108</v>
      </c>
      <c r="I34" s="23">
        <v>37</v>
      </c>
      <c r="J34" s="36">
        <f t="shared" si="1"/>
        <v>8066</v>
      </c>
      <c r="K34" s="37">
        <f t="shared" si="2"/>
        <v>31174</v>
      </c>
      <c r="L34" s="167">
        <f>(395*1.07)/4</f>
        <v>105.66250000000001</v>
      </c>
      <c r="M34" s="165">
        <f t="shared" si="6"/>
        <v>37.099999999999994</v>
      </c>
      <c r="N34" s="163"/>
      <c r="O34" s="20">
        <f>10*21</f>
        <v>210</v>
      </c>
      <c r="P34" s="17"/>
      <c r="Q34" s="20"/>
      <c r="R34" s="16"/>
      <c r="S34" s="18"/>
    </row>
    <row r="35" spans="1:20">
      <c r="A35" s="117"/>
      <c r="B35" s="118"/>
      <c r="C35" s="127"/>
      <c r="D35" s="173" t="s">
        <v>1585</v>
      </c>
      <c r="E35" s="121">
        <v>165</v>
      </c>
      <c r="F35" s="122" t="s">
        <v>185</v>
      </c>
      <c r="G35" s="123">
        <v>172</v>
      </c>
      <c r="H35" s="124">
        <f t="shared" si="0"/>
        <v>28380</v>
      </c>
      <c r="I35" s="123">
        <v>60</v>
      </c>
      <c r="J35" s="125">
        <f t="shared" si="1"/>
        <v>9900</v>
      </c>
      <c r="K35" s="126">
        <f t="shared" si="2"/>
        <v>38280</v>
      </c>
      <c r="L35" s="167">
        <f>(640*1.07)/4</f>
        <v>171.20000000000002</v>
      </c>
      <c r="M35" s="165">
        <f t="shared" si="6"/>
        <v>60.199999999999996</v>
      </c>
      <c r="N35" s="163"/>
      <c r="O35" s="20">
        <f>55+72+30</f>
        <v>157</v>
      </c>
      <c r="P35" s="17"/>
      <c r="Q35" s="20"/>
      <c r="R35" s="16"/>
      <c r="S35" s="18"/>
      <c r="T35" s="13"/>
    </row>
    <row r="36" spans="1:20">
      <c r="A36" s="117"/>
      <c r="B36" s="118"/>
      <c r="C36" s="127"/>
      <c r="D36" s="173" t="s">
        <v>1586</v>
      </c>
      <c r="E36" s="121">
        <v>165</v>
      </c>
      <c r="F36" s="122" t="s">
        <v>185</v>
      </c>
      <c r="G36" s="123">
        <v>363</v>
      </c>
      <c r="H36" s="124">
        <f t="shared" si="0"/>
        <v>59895</v>
      </c>
      <c r="I36" s="123">
        <v>127</v>
      </c>
      <c r="J36" s="125">
        <f t="shared" si="1"/>
        <v>20955</v>
      </c>
      <c r="K36" s="126">
        <f t="shared" si="2"/>
        <v>80850</v>
      </c>
      <c r="L36" s="167">
        <f>(1355*1.07)/4</f>
        <v>362.46250000000003</v>
      </c>
      <c r="M36" s="165">
        <f t="shared" si="6"/>
        <v>127.05</v>
      </c>
      <c r="N36" s="163"/>
      <c r="O36" s="20">
        <f>55+72+30</f>
        <v>157</v>
      </c>
      <c r="P36" s="17"/>
      <c r="Q36" s="20"/>
      <c r="R36" s="16"/>
      <c r="S36" s="18"/>
      <c r="T36" s="13"/>
    </row>
    <row r="37" spans="1:20">
      <c r="A37" s="117"/>
      <c r="B37" s="118"/>
      <c r="C37" s="127"/>
      <c r="D37" s="173" t="s">
        <v>493</v>
      </c>
      <c r="E37" s="121">
        <v>100</v>
      </c>
      <c r="F37" s="122" t="s">
        <v>185</v>
      </c>
      <c r="G37" s="123">
        <v>244</v>
      </c>
      <c r="H37" s="124">
        <f t="shared" si="0"/>
        <v>24400</v>
      </c>
      <c r="I37" s="123">
        <v>200</v>
      </c>
      <c r="J37" s="125">
        <f t="shared" si="1"/>
        <v>20000</v>
      </c>
      <c r="K37" s="126">
        <f t="shared" si="2"/>
        <v>44400</v>
      </c>
      <c r="L37" s="161">
        <f>228*1.07</f>
        <v>243.96</v>
      </c>
      <c r="M37" s="165">
        <v>200</v>
      </c>
      <c r="N37" s="163"/>
      <c r="O37" s="20"/>
      <c r="P37" s="17"/>
      <c r="Q37" s="20"/>
      <c r="R37" s="16"/>
      <c r="S37" s="18"/>
      <c r="T37" s="13"/>
    </row>
    <row r="38" spans="1:20">
      <c r="A38" s="117"/>
      <c r="B38" s="118"/>
      <c r="C38" s="127" t="s">
        <v>312</v>
      </c>
      <c r="D38" s="174" t="s">
        <v>494</v>
      </c>
      <c r="E38" s="121"/>
      <c r="F38" s="122"/>
      <c r="G38" s="123"/>
      <c r="H38" s="124"/>
      <c r="I38" s="123"/>
      <c r="J38" s="125"/>
      <c r="K38" s="126"/>
      <c r="M38" s="165"/>
      <c r="N38" s="163"/>
      <c r="O38" s="20"/>
      <c r="P38" s="17"/>
      <c r="Q38" s="20"/>
      <c r="R38" s="16"/>
      <c r="S38" s="18"/>
      <c r="T38" s="13"/>
    </row>
    <row r="39" spans="1:20">
      <c r="A39" s="117"/>
      <c r="B39" s="118"/>
      <c r="C39" s="127"/>
      <c r="D39" s="175" t="s">
        <v>1587</v>
      </c>
      <c r="E39" s="121">
        <v>21</v>
      </c>
      <c r="F39" s="122" t="s">
        <v>240</v>
      </c>
      <c r="G39" s="123">
        <v>200</v>
      </c>
      <c r="H39" s="124">
        <f t="shared" si="0"/>
        <v>4200</v>
      </c>
      <c r="I39" s="23">
        <v>70</v>
      </c>
      <c r="J39" s="125">
        <f t="shared" si="1"/>
        <v>1470</v>
      </c>
      <c r="K39" s="126">
        <f t="shared" si="2"/>
        <v>5670</v>
      </c>
      <c r="L39" s="161">
        <f>148*1.07</f>
        <v>158.36000000000001</v>
      </c>
      <c r="M39" s="165">
        <f t="shared" ref="M39:M42" si="7">G39*0.35</f>
        <v>70</v>
      </c>
      <c r="N39" s="163"/>
      <c r="O39" s="20"/>
      <c r="P39" s="17"/>
      <c r="Q39" s="20"/>
      <c r="R39" s="16"/>
      <c r="S39" s="18"/>
      <c r="T39" s="13"/>
    </row>
    <row r="40" spans="1:20">
      <c r="A40" s="117"/>
      <c r="B40" s="118"/>
      <c r="C40" s="127"/>
      <c r="D40" s="175" t="s">
        <v>1588</v>
      </c>
      <c r="E40" s="121">
        <v>1</v>
      </c>
      <c r="F40" s="122" t="s">
        <v>240</v>
      </c>
      <c r="G40" s="123">
        <v>570</v>
      </c>
      <c r="H40" s="124">
        <f t="shared" si="0"/>
        <v>570</v>
      </c>
      <c r="I40" s="23">
        <v>200</v>
      </c>
      <c r="J40" s="125">
        <f t="shared" si="1"/>
        <v>200</v>
      </c>
      <c r="K40" s="126">
        <f t="shared" si="2"/>
        <v>770</v>
      </c>
      <c r="L40" s="161">
        <f>532*1.07</f>
        <v>569.24</v>
      </c>
      <c r="M40" s="165">
        <f t="shared" si="7"/>
        <v>199.5</v>
      </c>
      <c r="N40" s="163"/>
      <c r="O40" s="20"/>
      <c r="P40" s="17"/>
      <c r="Q40" s="20"/>
      <c r="R40" s="16"/>
      <c r="S40" s="18"/>
      <c r="T40" s="13"/>
    </row>
    <row r="41" spans="1:20">
      <c r="A41" s="117"/>
      <c r="B41" s="118"/>
      <c r="C41" s="127"/>
      <c r="D41" s="175" t="s">
        <v>1589</v>
      </c>
      <c r="E41" s="121">
        <v>21</v>
      </c>
      <c r="F41" s="122" t="s">
        <v>87</v>
      </c>
      <c r="G41" s="123">
        <v>80</v>
      </c>
      <c r="H41" s="124">
        <f t="shared" si="0"/>
        <v>1680</v>
      </c>
      <c r="I41" s="23">
        <v>28</v>
      </c>
      <c r="J41" s="125">
        <f t="shared" si="1"/>
        <v>588</v>
      </c>
      <c r="K41" s="126">
        <f t="shared" si="2"/>
        <v>2268</v>
      </c>
      <c r="L41" s="161">
        <f>74*1.07</f>
        <v>79.180000000000007</v>
      </c>
      <c r="M41" s="165">
        <f t="shared" si="7"/>
        <v>28</v>
      </c>
      <c r="N41" s="163"/>
      <c r="O41" s="121">
        <f>(1*20)+1</f>
        <v>21</v>
      </c>
      <c r="P41" s="17"/>
      <c r="Q41" s="20"/>
      <c r="R41" s="16"/>
      <c r="S41" s="18"/>
      <c r="T41" s="13"/>
    </row>
    <row r="42" spans="1:20">
      <c r="A42" s="117"/>
      <c r="B42" s="118"/>
      <c r="C42" s="127"/>
      <c r="D42" s="175" t="s">
        <v>1590</v>
      </c>
      <c r="E42" s="121">
        <v>20</v>
      </c>
      <c r="F42" s="122" t="s">
        <v>87</v>
      </c>
      <c r="G42" s="123">
        <v>151</v>
      </c>
      <c r="H42" s="124">
        <f t="shared" si="0"/>
        <v>3020</v>
      </c>
      <c r="I42" s="23">
        <v>53</v>
      </c>
      <c r="J42" s="125">
        <f t="shared" si="1"/>
        <v>1060</v>
      </c>
      <c r="K42" s="126">
        <f t="shared" si="2"/>
        <v>4080</v>
      </c>
      <c r="L42" s="161">
        <f>141*1.07</f>
        <v>150.87</v>
      </c>
      <c r="M42" s="165">
        <f t="shared" si="7"/>
        <v>52.849999999999994</v>
      </c>
      <c r="N42" s="163"/>
      <c r="O42" s="20">
        <v>20</v>
      </c>
      <c r="P42" s="17"/>
      <c r="Q42" s="20"/>
      <c r="R42" s="16"/>
      <c r="S42" s="18"/>
      <c r="T42" s="13"/>
    </row>
    <row r="43" spans="1:20">
      <c r="A43" s="117"/>
      <c r="B43" s="118"/>
      <c r="C43" s="127" t="s">
        <v>499</v>
      </c>
      <c r="D43" s="174" t="s">
        <v>500</v>
      </c>
      <c r="E43" s="121"/>
      <c r="F43" s="122"/>
      <c r="G43" s="123"/>
      <c r="H43" s="124"/>
      <c r="I43" s="123"/>
      <c r="J43" s="125"/>
      <c r="K43" s="126"/>
      <c r="M43" s="165"/>
      <c r="N43" s="163"/>
      <c r="O43" s="20"/>
      <c r="P43" s="17"/>
      <c r="Q43" s="20"/>
      <c r="R43" s="16"/>
      <c r="S43" s="18"/>
      <c r="T43" s="13"/>
    </row>
    <row r="44" spans="1:20">
      <c r="A44" s="117"/>
      <c r="B44" s="118"/>
      <c r="C44" s="127"/>
      <c r="D44" s="175" t="s">
        <v>1591</v>
      </c>
      <c r="E44" s="121">
        <v>1</v>
      </c>
      <c r="F44" s="122" t="s">
        <v>240</v>
      </c>
      <c r="G44" s="123">
        <v>123573</v>
      </c>
      <c r="H44" s="124">
        <f t="shared" si="0"/>
        <v>123573</v>
      </c>
      <c r="I44" s="123">
        <v>98750</v>
      </c>
      <c r="J44" s="125">
        <f t="shared" si="1"/>
        <v>98750</v>
      </c>
      <c r="K44" s="126">
        <f t="shared" si="2"/>
        <v>222323</v>
      </c>
      <c r="L44" s="161">
        <f>115488.75*1.07</f>
        <v>123572.96250000001</v>
      </c>
      <c r="M44" s="165"/>
      <c r="N44" s="163"/>
      <c r="O44" s="20"/>
      <c r="P44" s="17"/>
      <c r="Q44" s="20"/>
      <c r="R44" s="16"/>
      <c r="S44" s="18"/>
      <c r="T44" s="13"/>
    </row>
    <row r="45" spans="1:20">
      <c r="A45" s="117"/>
      <c r="B45" s="118" t="s">
        <v>502</v>
      </c>
      <c r="C45" s="127"/>
      <c r="D45" s="175" t="s">
        <v>503</v>
      </c>
      <c r="E45" s="121">
        <v>1</v>
      </c>
      <c r="F45" s="122" t="s">
        <v>240</v>
      </c>
      <c r="G45" s="23">
        <v>6000</v>
      </c>
      <c r="H45" s="35">
        <f t="shared" si="0"/>
        <v>6000</v>
      </c>
      <c r="I45" s="23">
        <v>2500</v>
      </c>
      <c r="J45" s="125">
        <f t="shared" si="1"/>
        <v>2500</v>
      </c>
      <c r="K45" s="126">
        <f t="shared" si="2"/>
        <v>8500</v>
      </c>
      <c r="L45" s="161">
        <f>(8*500)+2000</f>
        <v>6000</v>
      </c>
      <c r="M45" s="165"/>
      <c r="N45" s="163"/>
      <c r="O45" s="20"/>
      <c r="P45" s="17"/>
      <c r="Q45" s="20"/>
      <c r="R45" s="16"/>
      <c r="S45" s="18"/>
      <c r="T45" s="13"/>
    </row>
    <row r="46" spans="1:20">
      <c r="A46" s="117"/>
      <c r="B46" s="118"/>
      <c r="C46" s="127" t="s">
        <v>504</v>
      </c>
      <c r="D46" s="175" t="s">
        <v>505</v>
      </c>
      <c r="E46" s="121"/>
      <c r="F46" s="122"/>
      <c r="G46" s="123"/>
      <c r="H46" s="124"/>
      <c r="I46" s="123"/>
      <c r="J46" s="125"/>
      <c r="K46" s="126"/>
      <c r="M46" s="165"/>
      <c r="N46" s="163"/>
      <c r="O46" s="20"/>
      <c r="P46" s="17"/>
      <c r="Q46" s="20"/>
      <c r="R46" s="16"/>
      <c r="S46" s="18"/>
      <c r="T46" s="13"/>
    </row>
    <row r="47" spans="1:20">
      <c r="A47" s="117"/>
      <c r="B47" s="118"/>
      <c r="C47" s="127"/>
      <c r="D47" s="175" t="s">
        <v>1592</v>
      </c>
      <c r="E47" s="121">
        <v>21</v>
      </c>
      <c r="F47" s="122" t="s">
        <v>240</v>
      </c>
      <c r="G47" s="176" t="s">
        <v>507</v>
      </c>
      <c r="H47" s="124">
        <v>0</v>
      </c>
      <c r="I47" s="123">
        <v>60</v>
      </c>
      <c r="J47" s="125">
        <f t="shared" ref="J47:J48" si="8">E47*I47</f>
        <v>1260</v>
      </c>
      <c r="K47" s="126">
        <f t="shared" ref="K47:K48" si="9">H47+J47</f>
        <v>1260</v>
      </c>
      <c r="L47" s="161">
        <f>1130*1.07</f>
        <v>1209.1000000000001</v>
      </c>
      <c r="M47" s="165"/>
      <c r="N47" s="163"/>
      <c r="O47" s="20"/>
      <c r="P47" s="17"/>
      <c r="Q47" s="20"/>
      <c r="R47" s="16"/>
      <c r="S47" s="18"/>
      <c r="T47" s="13"/>
    </row>
    <row r="48" spans="1:20">
      <c r="A48" s="117"/>
      <c r="B48" s="118"/>
      <c r="C48" s="127"/>
      <c r="D48" s="175" t="s">
        <v>1593</v>
      </c>
      <c r="E48" s="121">
        <v>1</v>
      </c>
      <c r="F48" s="122" t="s">
        <v>240</v>
      </c>
      <c r="G48" s="176" t="s">
        <v>507</v>
      </c>
      <c r="H48" s="124">
        <v>0</v>
      </c>
      <c r="I48" s="123">
        <v>180</v>
      </c>
      <c r="J48" s="125">
        <f t="shared" si="8"/>
        <v>180</v>
      </c>
      <c r="K48" s="126">
        <f t="shared" si="9"/>
        <v>180</v>
      </c>
      <c r="L48" s="161">
        <f>4541*1.07</f>
        <v>4858.87</v>
      </c>
      <c r="M48" s="165"/>
      <c r="N48" s="163"/>
      <c r="O48" s="20"/>
      <c r="P48" s="17"/>
      <c r="Q48" s="20"/>
      <c r="R48" s="16"/>
      <c r="S48" s="18"/>
      <c r="T48" s="13"/>
    </row>
    <row r="49" spans="1:20">
      <c r="A49" s="117"/>
      <c r="B49" s="118"/>
      <c r="C49" s="127" t="s">
        <v>509</v>
      </c>
      <c r="D49" s="175" t="s">
        <v>510</v>
      </c>
      <c r="E49" s="121"/>
      <c r="F49" s="122"/>
      <c r="G49" s="122"/>
      <c r="H49" s="122"/>
      <c r="I49" s="122"/>
      <c r="J49" s="122"/>
      <c r="K49" s="122"/>
      <c r="M49" s="165"/>
      <c r="N49" s="163"/>
      <c r="O49" s="20"/>
      <c r="P49" s="17"/>
      <c r="Q49" s="20"/>
      <c r="R49" s="16"/>
      <c r="S49" s="18"/>
      <c r="T49" s="13"/>
    </row>
    <row r="50" spans="1:20">
      <c r="A50" s="117"/>
      <c r="B50" s="118"/>
      <c r="C50" s="127"/>
      <c r="D50" s="177" t="s">
        <v>511</v>
      </c>
      <c r="E50" s="121"/>
      <c r="F50" s="122"/>
      <c r="G50" s="122"/>
      <c r="H50" s="122"/>
      <c r="I50" s="122"/>
      <c r="J50" s="122"/>
      <c r="K50" s="122"/>
      <c r="M50" s="165"/>
      <c r="N50" s="163"/>
      <c r="O50" s="20"/>
      <c r="P50" s="17"/>
      <c r="Q50" s="20"/>
      <c r="R50" s="16"/>
      <c r="S50" s="18"/>
      <c r="T50" s="13"/>
    </row>
    <row r="51" spans="1:20">
      <c r="A51" s="117"/>
      <c r="B51" s="118"/>
      <c r="C51" s="127"/>
      <c r="D51" s="175" t="s">
        <v>512</v>
      </c>
      <c r="E51" s="121">
        <v>150</v>
      </c>
      <c r="F51" s="122" t="s">
        <v>87</v>
      </c>
      <c r="G51" s="123">
        <v>28</v>
      </c>
      <c r="H51" s="124">
        <f t="shared" ref="H51:H55" si="10">E51*G51</f>
        <v>4200</v>
      </c>
      <c r="I51" s="178">
        <v>0</v>
      </c>
      <c r="J51" s="125">
        <f t="shared" ref="J51:J80" si="11">E51*I51</f>
        <v>0</v>
      </c>
      <c r="K51" s="126">
        <f t="shared" ref="K51:K80" si="12">H51+J51</f>
        <v>4200</v>
      </c>
      <c r="L51" s="161">
        <f>26*1.07</f>
        <v>27.82</v>
      </c>
      <c r="M51" s="165"/>
      <c r="N51" s="163" t="s">
        <v>1594</v>
      </c>
      <c r="O51" s="20"/>
      <c r="P51" s="121">
        <f>(7*21)</f>
        <v>147</v>
      </c>
      <c r="Q51" s="20"/>
      <c r="R51" s="16"/>
      <c r="S51" s="18"/>
      <c r="T51" s="13"/>
    </row>
    <row r="52" spans="1:20">
      <c r="A52" s="117"/>
      <c r="B52" s="118"/>
      <c r="C52" s="127"/>
      <c r="D52" s="175" t="s">
        <v>1595</v>
      </c>
      <c r="E52" s="121">
        <v>90</v>
      </c>
      <c r="F52" s="122" t="s">
        <v>87</v>
      </c>
      <c r="G52" s="123">
        <v>4</v>
      </c>
      <c r="H52" s="124">
        <f t="shared" si="10"/>
        <v>360</v>
      </c>
      <c r="I52" s="178">
        <v>0</v>
      </c>
      <c r="J52" s="125">
        <f t="shared" si="11"/>
        <v>0</v>
      </c>
      <c r="K52" s="126">
        <f t="shared" si="12"/>
        <v>360</v>
      </c>
      <c r="L52" s="161">
        <f>3*1.07</f>
        <v>3.21</v>
      </c>
      <c r="M52" s="165"/>
      <c r="N52" s="163" t="s">
        <v>1596</v>
      </c>
      <c r="O52" s="20"/>
      <c r="P52" s="121">
        <f>(4*21)</f>
        <v>84</v>
      </c>
      <c r="Q52" s="20"/>
      <c r="R52" s="16"/>
      <c r="S52" s="18"/>
      <c r="T52" s="13"/>
    </row>
    <row r="53" spans="1:20">
      <c r="A53" s="117"/>
      <c r="B53" s="118"/>
      <c r="C53" s="127"/>
      <c r="D53" s="175" t="s">
        <v>1597</v>
      </c>
      <c r="E53" s="121">
        <v>525</v>
      </c>
      <c r="F53" s="122" t="s">
        <v>87</v>
      </c>
      <c r="G53" s="123">
        <v>4</v>
      </c>
      <c r="H53" s="124">
        <f t="shared" si="10"/>
        <v>2100</v>
      </c>
      <c r="I53" s="178">
        <v>0</v>
      </c>
      <c r="J53" s="125">
        <f t="shared" si="11"/>
        <v>0</v>
      </c>
      <c r="K53" s="126">
        <f t="shared" si="12"/>
        <v>2100</v>
      </c>
      <c r="L53" s="161">
        <f>3.5*1.07</f>
        <v>3.7450000000000001</v>
      </c>
      <c r="M53" s="165"/>
      <c r="N53" s="163" t="s">
        <v>1598</v>
      </c>
      <c r="O53" s="20"/>
      <c r="P53" s="121">
        <f>(25*21)</f>
        <v>525</v>
      </c>
      <c r="Q53" s="20"/>
      <c r="R53" s="16"/>
      <c r="S53" s="18"/>
      <c r="T53" s="13"/>
    </row>
    <row r="54" spans="1:20">
      <c r="A54" s="117"/>
      <c r="B54" s="118"/>
      <c r="C54" s="127"/>
      <c r="D54" s="175" t="s">
        <v>1599</v>
      </c>
      <c r="E54" s="121">
        <v>105</v>
      </c>
      <c r="F54" s="122" t="s">
        <v>87</v>
      </c>
      <c r="G54" s="123">
        <v>6</v>
      </c>
      <c r="H54" s="124">
        <f t="shared" si="10"/>
        <v>630</v>
      </c>
      <c r="I54" s="178">
        <v>0</v>
      </c>
      <c r="J54" s="125">
        <f t="shared" si="11"/>
        <v>0</v>
      </c>
      <c r="K54" s="126">
        <f t="shared" si="12"/>
        <v>630</v>
      </c>
      <c r="L54" s="161">
        <f>4.8*1.07</f>
        <v>5.1360000000000001</v>
      </c>
      <c r="M54" s="165"/>
      <c r="N54" s="163" t="s">
        <v>1600</v>
      </c>
      <c r="O54" s="20"/>
      <c r="P54" s="121">
        <f>(5*21)</f>
        <v>105</v>
      </c>
      <c r="Q54" s="20"/>
      <c r="R54" s="16"/>
      <c r="S54" s="18"/>
      <c r="T54" s="13"/>
    </row>
    <row r="55" spans="1:20">
      <c r="A55" s="117"/>
      <c r="B55" s="118"/>
      <c r="C55" s="127"/>
      <c r="D55" s="175" t="s">
        <v>1601</v>
      </c>
      <c r="E55" s="121">
        <v>200</v>
      </c>
      <c r="F55" s="122" t="s">
        <v>87</v>
      </c>
      <c r="G55" s="123">
        <v>1</v>
      </c>
      <c r="H55" s="124">
        <f t="shared" si="10"/>
        <v>200</v>
      </c>
      <c r="I55" s="178">
        <v>0</v>
      </c>
      <c r="J55" s="125">
        <f t="shared" si="11"/>
        <v>0</v>
      </c>
      <c r="K55" s="126">
        <f t="shared" si="12"/>
        <v>200</v>
      </c>
      <c r="L55" s="161">
        <f>0.6*1.07</f>
        <v>0.64200000000000002</v>
      </c>
      <c r="M55" s="165"/>
      <c r="N55" s="163" t="s">
        <v>1602</v>
      </c>
      <c r="O55" s="20"/>
      <c r="P55" s="121">
        <f>(9*21)</f>
        <v>189</v>
      </c>
      <c r="Q55" s="20"/>
      <c r="R55" s="16"/>
      <c r="S55" s="18"/>
      <c r="T55" s="13"/>
    </row>
    <row r="56" spans="1:20" s="13" customFormat="1">
      <c r="A56" s="32"/>
      <c r="B56" s="31"/>
      <c r="C56" s="33"/>
      <c r="D56" s="179" t="s">
        <v>517</v>
      </c>
      <c r="E56" s="30"/>
      <c r="F56" s="22"/>
      <c r="G56" s="23"/>
      <c r="H56" s="35"/>
      <c r="I56" s="178">
        <v>0</v>
      </c>
      <c r="J56" s="125">
        <f t="shared" si="11"/>
        <v>0</v>
      </c>
      <c r="K56" s="126">
        <f t="shared" si="12"/>
        <v>0</v>
      </c>
      <c r="L56" s="167"/>
      <c r="M56" s="165"/>
      <c r="N56" s="163"/>
      <c r="O56" s="20"/>
      <c r="P56" s="17"/>
      <c r="Q56" s="20"/>
      <c r="R56" s="16"/>
      <c r="S56" s="18"/>
    </row>
    <row r="57" spans="1:20">
      <c r="A57" s="117"/>
      <c r="B57" s="118"/>
      <c r="C57" s="127"/>
      <c r="D57" s="175" t="s">
        <v>1603</v>
      </c>
      <c r="E57" s="121">
        <v>20</v>
      </c>
      <c r="F57" s="122" t="s">
        <v>87</v>
      </c>
      <c r="G57" s="123">
        <v>8</v>
      </c>
      <c r="H57" s="124">
        <f t="shared" ref="H57:H62" si="13">E57*G57</f>
        <v>160</v>
      </c>
      <c r="I57" s="178">
        <v>0</v>
      </c>
      <c r="J57" s="125">
        <f t="shared" si="11"/>
        <v>0</v>
      </c>
      <c r="K57" s="126">
        <f t="shared" si="12"/>
        <v>160</v>
      </c>
      <c r="L57" s="161">
        <f>6.1*1.07</f>
        <v>6.5270000000000001</v>
      </c>
      <c r="M57" s="165"/>
      <c r="N57" s="163" t="s">
        <v>1604</v>
      </c>
      <c r="O57" s="20"/>
      <c r="P57" s="121">
        <f>(10*2)</f>
        <v>20</v>
      </c>
      <c r="Q57" s="20"/>
      <c r="R57" s="16"/>
      <c r="S57" s="18"/>
      <c r="T57" s="13"/>
    </row>
    <row r="58" spans="1:20">
      <c r="A58" s="117"/>
      <c r="B58" s="118"/>
      <c r="C58" s="127"/>
      <c r="D58" s="175" t="s">
        <v>1605</v>
      </c>
      <c r="E58" s="121">
        <v>25</v>
      </c>
      <c r="F58" s="122" t="s">
        <v>87</v>
      </c>
      <c r="G58" s="123">
        <v>10</v>
      </c>
      <c r="H58" s="124">
        <f t="shared" si="13"/>
        <v>250</v>
      </c>
      <c r="I58" s="178">
        <v>0</v>
      </c>
      <c r="J58" s="125">
        <f t="shared" si="11"/>
        <v>0</v>
      </c>
      <c r="K58" s="126">
        <f t="shared" si="12"/>
        <v>250</v>
      </c>
      <c r="L58" s="161">
        <f>8.5*1.07</f>
        <v>9.0950000000000006</v>
      </c>
      <c r="M58" s="165"/>
      <c r="N58" s="163" t="s">
        <v>1606</v>
      </c>
      <c r="O58" s="20"/>
      <c r="P58" s="121">
        <f>(6*4)+1</f>
        <v>25</v>
      </c>
      <c r="Q58" s="20"/>
      <c r="R58" s="16"/>
      <c r="S58" s="18"/>
      <c r="T58" s="13"/>
    </row>
    <row r="59" spans="1:20">
      <c r="A59" s="117"/>
      <c r="B59" s="118"/>
      <c r="C59" s="127"/>
      <c r="D59" s="175" t="s">
        <v>1607</v>
      </c>
      <c r="E59" s="121">
        <v>25</v>
      </c>
      <c r="F59" s="122" t="s">
        <v>87</v>
      </c>
      <c r="G59" s="123">
        <v>15</v>
      </c>
      <c r="H59" s="124">
        <f t="shared" si="13"/>
        <v>375</v>
      </c>
      <c r="I59" s="178">
        <v>0</v>
      </c>
      <c r="J59" s="125">
        <f t="shared" si="11"/>
        <v>0</v>
      </c>
      <c r="K59" s="126">
        <f t="shared" si="12"/>
        <v>375</v>
      </c>
      <c r="L59" s="161">
        <f>12.5*1.07</f>
        <v>13.375</v>
      </c>
      <c r="M59" s="165"/>
      <c r="N59" s="163" t="s">
        <v>1608</v>
      </c>
      <c r="O59" s="20"/>
      <c r="P59" s="121">
        <f>(6*4)+1</f>
        <v>25</v>
      </c>
      <c r="Q59" s="20"/>
      <c r="R59" s="16"/>
      <c r="S59" s="18"/>
      <c r="T59" s="13"/>
    </row>
    <row r="60" spans="1:20" s="13" customFormat="1">
      <c r="A60" s="32"/>
      <c r="B60" s="31"/>
      <c r="C60" s="33"/>
      <c r="D60" s="179" t="s">
        <v>521</v>
      </c>
      <c r="E60" s="30"/>
      <c r="F60" s="22"/>
      <c r="G60" s="23"/>
      <c r="H60" s="35"/>
      <c r="I60" s="178">
        <v>0</v>
      </c>
      <c r="J60" s="125">
        <f t="shared" si="11"/>
        <v>0</v>
      </c>
      <c r="K60" s="126">
        <f t="shared" si="12"/>
        <v>0</v>
      </c>
      <c r="L60" s="167"/>
      <c r="M60" s="165"/>
      <c r="N60" s="163"/>
      <c r="O60" s="20"/>
      <c r="P60" s="30"/>
      <c r="Q60" s="20"/>
      <c r="R60" s="16"/>
      <c r="S60" s="18"/>
    </row>
    <row r="61" spans="1:20">
      <c r="A61" s="117"/>
      <c r="B61" s="118"/>
      <c r="C61" s="127"/>
      <c r="D61" s="175" t="s">
        <v>1609</v>
      </c>
      <c r="E61" s="121">
        <v>65</v>
      </c>
      <c r="F61" s="122" t="s">
        <v>87</v>
      </c>
      <c r="G61" s="123">
        <v>11</v>
      </c>
      <c r="H61" s="124">
        <f t="shared" si="13"/>
        <v>715</v>
      </c>
      <c r="I61" s="178">
        <v>0</v>
      </c>
      <c r="J61" s="125">
        <f t="shared" si="11"/>
        <v>0</v>
      </c>
      <c r="K61" s="126">
        <f t="shared" si="12"/>
        <v>715</v>
      </c>
      <c r="L61" s="161">
        <f>10*1.07</f>
        <v>10.700000000000001</v>
      </c>
      <c r="M61" s="165"/>
      <c r="N61" s="163" t="s">
        <v>1610</v>
      </c>
      <c r="O61" s="20"/>
      <c r="P61" s="121">
        <f>(3*21)</f>
        <v>63</v>
      </c>
      <c r="Q61" s="20"/>
      <c r="R61" s="16"/>
      <c r="S61" s="18"/>
      <c r="T61" s="13"/>
    </row>
    <row r="62" spans="1:20">
      <c r="A62" s="117"/>
      <c r="B62" s="118"/>
      <c r="C62" s="127"/>
      <c r="D62" s="175" t="s">
        <v>1611</v>
      </c>
      <c r="E62" s="121">
        <v>84</v>
      </c>
      <c r="F62" s="122" t="s">
        <v>87</v>
      </c>
      <c r="G62" s="123">
        <v>13</v>
      </c>
      <c r="H62" s="124">
        <f t="shared" si="13"/>
        <v>1092</v>
      </c>
      <c r="I62" s="178">
        <v>0</v>
      </c>
      <c r="J62" s="125">
        <f t="shared" si="11"/>
        <v>0</v>
      </c>
      <c r="K62" s="126">
        <f t="shared" si="12"/>
        <v>1092</v>
      </c>
      <c r="L62" s="161">
        <f>12*1.07</f>
        <v>12.84</v>
      </c>
      <c r="M62" s="165"/>
      <c r="N62" s="163" t="s">
        <v>1596</v>
      </c>
      <c r="O62" s="20"/>
      <c r="P62" s="121">
        <f>(4*21)</f>
        <v>84</v>
      </c>
      <c r="Q62" s="20"/>
      <c r="R62" s="16"/>
      <c r="S62" s="18"/>
      <c r="T62" s="13"/>
    </row>
    <row r="63" spans="1:20" s="13" customFormat="1">
      <c r="A63" s="32"/>
      <c r="B63" s="31"/>
      <c r="C63" s="33"/>
      <c r="D63" s="179" t="s">
        <v>524</v>
      </c>
      <c r="E63" s="30"/>
      <c r="F63" s="22"/>
      <c r="G63" s="23"/>
      <c r="H63" s="35"/>
      <c r="I63" s="178">
        <v>0</v>
      </c>
      <c r="J63" s="125">
        <f t="shared" si="11"/>
        <v>0</v>
      </c>
      <c r="K63" s="126">
        <f t="shared" si="12"/>
        <v>0</v>
      </c>
      <c r="L63" s="167"/>
      <c r="M63" s="165"/>
      <c r="N63" s="163"/>
      <c r="O63" s="20"/>
      <c r="P63" s="30"/>
      <c r="Q63" s="20"/>
      <c r="R63" s="16"/>
      <c r="S63" s="18"/>
    </row>
    <row r="64" spans="1:20" s="13" customFormat="1">
      <c r="A64" s="32"/>
      <c r="B64" s="31"/>
      <c r="C64" s="33"/>
      <c r="D64" s="180" t="s">
        <v>1612</v>
      </c>
      <c r="E64" s="30">
        <v>23</v>
      </c>
      <c r="F64" s="22" t="s">
        <v>87</v>
      </c>
      <c r="G64" s="23">
        <v>25</v>
      </c>
      <c r="H64" s="35">
        <f t="shared" ref="H64:H67" si="14">E64*G64</f>
        <v>575</v>
      </c>
      <c r="I64" s="178">
        <v>0</v>
      </c>
      <c r="J64" s="125">
        <f t="shared" si="11"/>
        <v>0</v>
      </c>
      <c r="K64" s="126">
        <f t="shared" si="12"/>
        <v>575</v>
      </c>
      <c r="L64" s="167">
        <f>23*1.07</f>
        <v>24.610000000000003</v>
      </c>
      <c r="M64" s="165"/>
      <c r="N64" s="163" t="s">
        <v>1613</v>
      </c>
      <c r="O64" s="20"/>
      <c r="P64" s="30">
        <f>(1*21)</f>
        <v>21</v>
      </c>
      <c r="Q64" s="20"/>
      <c r="R64" s="16"/>
      <c r="S64" s="18"/>
    </row>
    <row r="65" spans="1:20" s="13" customFormat="1">
      <c r="A65" s="32"/>
      <c r="B65" s="31"/>
      <c r="C65" s="33"/>
      <c r="D65" s="180" t="s">
        <v>1614</v>
      </c>
      <c r="E65" s="30">
        <v>45</v>
      </c>
      <c r="F65" s="22" t="s">
        <v>87</v>
      </c>
      <c r="G65" s="23">
        <v>31</v>
      </c>
      <c r="H65" s="35">
        <f t="shared" si="14"/>
        <v>1395</v>
      </c>
      <c r="I65" s="178">
        <v>0</v>
      </c>
      <c r="J65" s="125">
        <f t="shared" si="11"/>
        <v>0</v>
      </c>
      <c r="K65" s="126">
        <f t="shared" si="12"/>
        <v>1395</v>
      </c>
      <c r="L65" s="167">
        <f>28.3*1.07</f>
        <v>30.281000000000002</v>
      </c>
      <c r="M65" s="165"/>
      <c r="N65" s="163" t="s">
        <v>1610</v>
      </c>
      <c r="O65" s="20"/>
      <c r="P65" s="30">
        <f>(2*21)</f>
        <v>42</v>
      </c>
      <c r="Q65" s="20"/>
      <c r="R65" s="16"/>
      <c r="S65" s="18"/>
    </row>
    <row r="66" spans="1:20" s="13" customFormat="1">
      <c r="A66" s="32"/>
      <c r="B66" s="31"/>
      <c r="C66" s="33"/>
      <c r="D66" s="180" t="s">
        <v>1615</v>
      </c>
      <c r="E66" s="30">
        <v>23</v>
      </c>
      <c r="F66" s="22" t="s">
        <v>87</v>
      </c>
      <c r="G66" s="23">
        <v>111</v>
      </c>
      <c r="H66" s="35">
        <f t="shared" si="14"/>
        <v>2553</v>
      </c>
      <c r="I66" s="178">
        <v>0</v>
      </c>
      <c r="J66" s="125">
        <f t="shared" si="11"/>
        <v>0</v>
      </c>
      <c r="K66" s="126">
        <f t="shared" si="12"/>
        <v>2553</v>
      </c>
      <c r="L66" s="167">
        <f>103*1.07</f>
        <v>110.21000000000001</v>
      </c>
      <c r="M66" s="165"/>
      <c r="N66" s="163" t="s">
        <v>1613</v>
      </c>
      <c r="O66" s="20"/>
      <c r="P66" s="30">
        <f>(1*21)</f>
        <v>21</v>
      </c>
      <c r="Q66" s="20"/>
      <c r="R66" s="16"/>
      <c r="S66" s="18"/>
    </row>
    <row r="67" spans="1:20" s="13" customFormat="1">
      <c r="A67" s="32"/>
      <c r="B67" s="31"/>
      <c r="C67" s="33"/>
      <c r="D67" s="180" t="s">
        <v>1616</v>
      </c>
      <c r="E67" s="30">
        <v>26</v>
      </c>
      <c r="F67" s="22" t="s">
        <v>87</v>
      </c>
      <c r="G67" s="23">
        <v>190</v>
      </c>
      <c r="H67" s="35">
        <f t="shared" si="14"/>
        <v>4940</v>
      </c>
      <c r="I67" s="178">
        <v>0</v>
      </c>
      <c r="J67" s="125">
        <f t="shared" si="11"/>
        <v>0</v>
      </c>
      <c r="K67" s="126">
        <f t="shared" si="12"/>
        <v>4940</v>
      </c>
      <c r="L67" s="167">
        <f>177*1.07</f>
        <v>189.39000000000001</v>
      </c>
      <c r="M67" s="165"/>
      <c r="N67" s="163" t="s">
        <v>1617</v>
      </c>
      <c r="O67" s="20" t="s">
        <v>1618</v>
      </c>
      <c r="P67" s="30">
        <f>(1*20)+4</f>
        <v>24</v>
      </c>
      <c r="Q67" s="20"/>
      <c r="R67" s="16"/>
      <c r="S67" s="18"/>
    </row>
    <row r="68" spans="1:20" s="13" customFormat="1">
      <c r="A68" s="32"/>
      <c r="B68" s="31"/>
      <c r="C68" s="33"/>
      <c r="D68" s="179" t="s">
        <v>529</v>
      </c>
      <c r="E68" s="30"/>
      <c r="F68" s="22"/>
      <c r="G68" s="23"/>
      <c r="H68" s="35"/>
      <c r="I68" s="178">
        <v>0</v>
      </c>
      <c r="J68" s="125">
        <f t="shared" si="11"/>
        <v>0</v>
      </c>
      <c r="K68" s="126">
        <f t="shared" si="12"/>
        <v>0</v>
      </c>
      <c r="L68" s="167"/>
      <c r="M68" s="165"/>
      <c r="N68" s="163"/>
      <c r="O68" s="20"/>
      <c r="P68" s="30"/>
      <c r="Q68" s="20"/>
      <c r="R68" s="16"/>
      <c r="S68" s="18"/>
    </row>
    <row r="69" spans="1:20" s="13" customFormat="1">
      <c r="A69" s="32"/>
      <c r="B69" s="31"/>
      <c r="C69" s="33"/>
      <c r="D69" s="180" t="s">
        <v>1619</v>
      </c>
      <c r="E69" s="30">
        <v>23</v>
      </c>
      <c r="F69" s="22" t="s">
        <v>87</v>
      </c>
      <c r="G69" s="23">
        <v>35</v>
      </c>
      <c r="H69" s="35">
        <f t="shared" ref="H69:H74" si="15">E69*G69</f>
        <v>805</v>
      </c>
      <c r="I69" s="178">
        <v>0</v>
      </c>
      <c r="J69" s="125">
        <f t="shared" si="11"/>
        <v>0</v>
      </c>
      <c r="K69" s="126">
        <f t="shared" si="12"/>
        <v>805</v>
      </c>
      <c r="L69" s="167">
        <f>32.7*1.07</f>
        <v>34.989000000000004</v>
      </c>
      <c r="M69" s="165"/>
      <c r="N69" s="163" t="s">
        <v>1617</v>
      </c>
      <c r="O69" s="20"/>
      <c r="P69" s="30">
        <f>1*21</f>
        <v>21</v>
      </c>
      <c r="Q69" s="20"/>
      <c r="R69" s="16"/>
      <c r="S69" s="18"/>
    </row>
    <row r="70" spans="1:20" s="13" customFormat="1">
      <c r="A70" s="32"/>
      <c r="B70" s="31"/>
      <c r="C70" s="33"/>
      <c r="D70" s="180" t="s">
        <v>1620</v>
      </c>
      <c r="E70" s="30">
        <v>43</v>
      </c>
      <c r="F70" s="22" t="s">
        <v>87</v>
      </c>
      <c r="G70" s="23">
        <v>76</v>
      </c>
      <c r="H70" s="35">
        <f t="shared" si="15"/>
        <v>3268</v>
      </c>
      <c r="I70" s="178">
        <v>0</v>
      </c>
      <c r="J70" s="125">
        <f t="shared" si="11"/>
        <v>0</v>
      </c>
      <c r="K70" s="126">
        <f t="shared" si="12"/>
        <v>3268</v>
      </c>
      <c r="L70" s="167">
        <f>70.5*1.07</f>
        <v>75.435000000000002</v>
      </c>
      <c r="M70" s="165"/>
      <c r="N70" s="163" t="s">
        <v>1621</v>
      </c>
      <c r="O70" s="20"/>
      <c r="P70" s="30">
        <f>(2*20)+1</f>
        <v>41</v>
      </c>
      <c r="Q70" s="20"/>
      <c r="R70" s="16"/>
      <c r="S70" s="18"/>
    </row>
    <row r="71" spans="1:20" s="13" customFormat="1">
      <c r="A71" s="32"/>
      <c r="B71" s="31"/>
      <c r="C71" s="33"/>
      <c r="D71" s="180" t="s">
        <v>1622</v>
      </c>
      <c r="E71" s="30">
        <v>23</v>
      </c>
      <c r="F71" s="22" t="s">
        <v>87</v>
      </c>
      <c r="G71" s="23">
        <v>97</v>
      </c>
      <c r="H71" s="35">
        <f t="shared" si="15"/>
        <v>2231</v>
      </c>
      <c r="I71" s="178">
        <v>0</v>
      </c>
      <c r="J71" s="125">
        <f t="shared" si="11"/>
        <v>0</v>
      </c>
      <c r="K71" s="126">
        <f t="shared" si="12"/>
        <v>2231</v>
      </c>
      <c r="L71" s="167">
        <f>90*1.07</f>
        <v>96.300000000000011</v>
      </c>
      <c r="M71" s="165"/>
      <c r="N71" s="163" t="s">
        <v>1617</v>
      </c>
      <c r="O71" s="20"/>
      <c r="P71" s="30">
        <f>1*21</f>
        <v>21</v>
      </c>
      <c r="Q71" s="20"/>
      <c r="R71" s="16"/>
      <c r="S71" s="18"/>
    </row>
    <row r="72" spans="1:20" s="13" customFormat="1">
      <c r="A72" s="32"/>
      <c r="B72" s="31"/>
      <c r="C72" s="33"/>
      <c r="D72" s="180" t="s">
        <v>1623</v>
      </c>
      <c r="E72" s="30">
        <v>23</v>
      </c>
      <c r="F72" s="22" t="s">
        <v>87</v>
      </c>
      <c r="G72" s="23">
        <v>97</v>
      </c>
      <c r="H72" s="35">
        <f t="shared" si="15"/>
        <v>2231</v>
      </c>
      <c r="I72" s="178">
        <v>0</v>
      </c>
      <c r="J72" s="125">
        <f t="shared" si="11"/>
        <v>0</v>
      </c>
      <c r="K72" s="126">
        <f t="shared" si="12"/>
        <v>2231</v>
      </c>
      <c r="L72" s="167">
        <f>90*1.07</f>
        <v>96.300000000000011</v>
      </c>
      <c r="M72" s="165"/>
      <c r="N72" s="163" t="s">
        <v>1617</v>
      </c>
      <c r="O72" s="20"/>
      <c r="P72" s="30">
        <f>1*21</f>
        <v>21</v>
      </c>
      <c r="Q72" s="20"/>
      <c r="R72" s="16"/>
      <c r="S72" s="18"/>
    </row>
    <row r="73" spans="1:20" s="13" customFormat="1">
      <c r="A73" s="32"/>
      <c r="B73" s="31"/>
      <c r="C73" s="33"/>
      <c r="D73" s="180" t="s">
        <v>1624</v>
      </c>
      <c r="E73" s="30">
        <v>23</v>
      </c>
      <c r="F73" s="22" t="s">
        <v>87</v>
      </c>
      <c r="G73" s="23">
        <v>173</v>
      </c>
      <c r="H73" s="35">
        <f t="shared" si="15"/>
        <v>3979</v>
      </c>
      <c r="I73" s="178">
        <v>0</v>
      </c>
      <c r="J73" s="125">
        <f t="shared" si="11"/>
        <v>0</v>
      </c>
      <c r="K73" s="126">
        <f t="shared" si="12"/>
        <v>3979</v>
      </c>
      <c r="L73" s="167">
        <f>161*1.07</f>
        <v>172.27</v>
      </c>
      <c r="M73" s="165"/>
      <c r="N73" s="163" t="s">
        <v>1613</v>
      </c>
      <c r="O73" s="20"/>
      <c r="P73" s="30">
        <f>(1*21)</f>
        <v>21</v>
      </c>
      <c r="Q73" s="20"/>
      <c r="R73" s="16"/>
      <c r="S73" s="18"/>
    </row>
    <row r="74" spans="1:20" s="13" customFormat="1">
      <c r="A74" s="32"/>
      <c r="B74" s="31"/>
      <c r="C74" s="33"/>
      <c r="D74" s="180" t="s">
        <v>1625</v>
      </c>
      <c r="E74" s="30">
        <v>23</v>
      </c>
      <c r="F74" s="22" t="s">
        <v>87</v>
      </c>
      <c r="G74" s="23">
        <v>364</v>
      </c>
      <c r="H74" s="35">
        <f t="shared" si="15"/>
        <v>8372</v>
      </c>
      <c r="I74" s="178">
        <v>0</v>
      </c>
      <c r="J74" s="125">
        <f t="shared" si="11"/>
        <v>0</v>
      </c>
      <c r="K74" s="126">
        <f t="shared" si="12"/>
        <v>8372</v>
      </c>
      <c r="L74" s="167">
        <f>340*1.07</f>
        <v>363.8</v>
      </c>
      <c r="M74" s="165"/>
      <c r="N74" s="163" t="s">
        <v>1613</v>
      </c>
      <c r="O74" s="20"/>
      <c r="P74" s="30">
        <f>(1*21)</f>
        <v>21</v>
      </c>
      <c r="Q74" s="20"/>
      <c r="R74" s="16"/>
      <c r="S74" s="18"/>
    </row>
    <row r="75" spans="1:20">
      <c r="A75" s="117"/>
      <c r="B75" s="118"/>
      <c r="C75" s="127"/>
      <c r="D75" s="179" t="s">
        <v>536</v>
      </c>
      <c r="E75" s="121"/>
      <c r="F75" s="122"/>
      <c r="G75" s="123"/>
      <c r="H75" s="124"/>
      <c r="I75" s="178">
        <v>0</v>
      </c>
      <c r="J75" s="125">
        <f t="shared" si="11"/>
        <v>0</v>
      </c>
      <c r="K75" s="126">
        <f t="shared" si="12"/>
        <v>0</v>
      </c>
      <c r="M75" s="165"/>
      <c r="N75" s="163"/>
      <c r="O75" s="20"/>
      <c r="P75" s="121"/>
      <c r="Q75" s="20"/>
      <c r="R75" s="16"/>
      <c r="S75" s="18"/>
      <c r="T75" s="13"/>
    </row>
    <row r="76" spans="1:20" s="13" customFormat="1">
      <c r="A76" s="32"/>
      <c r="B76" s="31"/>
      <c r="C76" s="33"/>
      <c r="D76" s="180" t="s">
        <v>1626</v>
      </c>
      <c r="E76" s="30">
        <v>23</v>
      </c>
      <c r="F76" s="22" t="s">
        <v>87</v>
      </c>
      <c r="G76" s="23">
        <v>188</v>
      </c>
      <c r="H76" s="35">
        <f t="shared" ref="H76:H80" si="16">E76*G76</f>
        <v>4324</v>
      </c>
      <c r="I76" s="178">
        <v>0</v>
      </c>
      <c r="J76" s="125">
        <f t="shared" si="11"/>
        <v>0</v>
      </c>
      <c r="K76" s="126">
        <f t="shared" si="12"/>
        <v>4324</v>
      </c>
      <c r="L76" s="167">
        <f>175*1.07</f>
        <v>187.25</v>
      </c>
      <c r="M76" s="165"/>
      <c r="N76" s="163" t="s">
        <v>1627</v>
      </c>
      <c r="O76" s="20"/>
      <c r="P76" s="30">
        <v>10</v>
      </c>
      <c r="Q76" s="20"/>
      <c r="R76" s="16"/>
      <c r="S76" s="18"/>
    </row>
    <row r="77" spans="1:20" s="13" customFormat="1">
      <c r="A77" s="32"/>
      <c r="B77" s="31"/>
      <c r="C77" s="33"/>
      <c r="D77" s="180" t="s">
        <v>1628</v>
      </c>
      <c r="E77" s="30">
        <v>6</v>
      </c>
      <c r="F77" s="22" t="s">
        <v>87</v>
      </c>
      <c r="G77" s="23">
        <v>247</v>
      </c>
      <c r="H77" s="35">
        <f t="shared" si="16"/>
        <v>1482</v>
      </c>
      <c r="I77" s="178">
        <v>0</v>
      </c>
      <c r="J77" s="125">
        <f t="shared" si="11"/>
        <v>0</v>
      </c>
      <c r="K77" s="126">
        <f t="shared" si="12"/>
        <v>1482</v>
      </c>
      <c r="L77" s="167">
        <f>230*1.07</f>
        <v>246.10000000000002</v>
      </c>
      <c r="M77" s="165"/>
      <c r="N77" s="163" t="s">
        <v>1629</v>
      </c>
      <c r="O77" s="20"/>
      <c r="P77" s="30">
        <f>4+2</f>
        <v>6</v>
      </c>
      <c r="Q77" s="20"/>
      <c r="R77" s="16"/>
      <c r="S77" s="18"/>
    </row>
    <row r="78" spans="1:20" s="13" customFormat="1">
      <c r="A78" s="32"/>
      <c r="B78" s="31"/>
      <c r="C78" s="33"/>
      <c r="D78" s="180" t="s">
        <v>1630</v>
      </c>
      <c r="E78" s="30">
        <v>23</v>
      </c>
      <c r="F78" s="22" t="s">
        <v>87</v>
      </c>
      <c r="G78" s="23">
        <v>161</v>
      </c>
      <c r="H78" s="35">
        <f t="shared" si="16"/>
        <v>3703</v>
      </c>
      <c r="I78" s="178">
        <v>0</v>
      </c>
      <c r="J78" s="125">
        <f t="shared" si="11"/>
        <v>0</v>
      </c>
      <c r="K78" s="126">
        <f t="shared" si="12"/>
        <v>3703</v>
      </c>
      <c r="L78" s="167">
        <f>150*1.07</f>
        <v>160.5</v>
      </c>
      <c r="M78" s="165"/>
      <c r="N78" s="163" t="s">
        <v>1617</v>
      </c>
      <c r="O78" s="20"/>
      <c r="P78" s="30">
        <f>1*21</f>
        <v>21</v>
      </c>
      <c r="Q78" s="20"/>
      <c r="R78" s="16"/>
      <c r="S78" s="18"/>
    </row>
    <row r="79" spans="1:20" s="13" customFormat="1">
      <c r="A79" s="32"/>
      <c r="B79" s="31"/>
      <c r="C79" s="33"/>
      <c r="D79" s="180" t="s">
        <v>1631</v>
      </c>
      <c r="E79" s="30">
        <v>5</v>
      </c>
      <c r="F79" s="22" t="s">
        <v>87</v>
      </c>
      <c r="G79" s="23">
        <v>173</v>
      </c>
      <c r="H79" s="35">
        <f t="shared" si="16"/>
        <v>865</v>
      </c>
      <c r="I79" s="178">
        <v>0</v>
      </c>
      <c r="J79" s="125">
        <f t="shared" si="11"/>
        <v>0</v>
      </c>
      <c r="K79" s="126">
        <f t="shared" si="12"/>
        <v>865</v>
      </c>
      <c r="L79" s="167">
        <f>161*1.07</f>
        <v>172.27</v>
      </c>
      <c r="M79" s="165"/>
      <c r="N79" s="163" t="s">
        <v>1632</v>
      </c>
      <c r="O79" s="20"/>
      <c r="P79" s="30">
        <f>4+1</f>
        <v>5</v>
      </c>
      <c r="Q79" s="20"/>
      <c r="R79" s="16"/>
      <c r="S79" s="18"/>
    </row>
    <row r="80" spans="1:20" s="13" customFormat="1">
      <c r="A80" s="32"/>
      <c r="B80" s="31"/>
      <c r="C80" s="33"/>
      <c r="D80" s="180" t="s">
        <v>541</v>
      </c>
      <c r="E80" s="30">
        <v>1</v>
      </c>
      <c r="F80" s="22" t="s">
        <v>87</v>
      </c>
      <c r="G80" s="23">
        <v>991</v>
      </c>
      <c r="H80" s="35">
        <f t="shared" si="16"/>
        <v>991</v>
      </c>
      <c r="I80" s="178">
        <v>0</v>
      </c>
      <c r="J80" s="125">
        <f t="shared" si="11"/>
        <v>0</v>
      </c>
      <c r="K80" s="126">
        <f t="shared" si="12"/>
        <v>991</v>
      </c>
      <c r="L80" s="167">
        <f>926*1.07</f>
        <v>990.82</v>
      </c>
      <c r="M80" s="165"/>
      <c r="N80" s="163" t="s">
        <v>1633</v>
      </c>
      <c r="O80" s="20"/>
      <c r="P80" s="30">
        <v>1</v>
      </c>
      <c r="Q80" s="20"/>
      <c r="R80" s="16"/>
      <c r="S80" s="18"/>
    </row>
    <row r="81" spans="1:20">
      <c r="A81" s="117"/>
      <c r="B81" s="118"/>
      <c r="C81" s="127" t="s">
        <v>542</v>
      </c>
      <c r="D81" s="175" t="s">
        <v>543</v>
      </c>
      <c r="E81" s="121"/>
      <c r="F81" s="122"/>
      <c r="G81" s="123"/>
      <c r="H81" s="124"/>
      <c r="I81" s="123"/>
      <c r="J81" s="125"/>
      <c r="K81" s="126"/>
      <c r="M81" s="165"/>
      <c r="N81" s="163"/>
      <c r="O81" s="20"/>
      <c r="P81" s="17"/>
      <c r="Q81" s="20"/>
      <c r="R81" s="16"/>
      <c r="S81" s="18"/>
      <c r="T81" s="13"/>
    </row>
    <row r="82" spans="1:20" s="13" customFormat="1">
      <c r="A82" s="32"/>
      <c r="B82" s="31"/>
      <c r="C82" s="33"/>
      <c r="D82" s="180" t="s">
        <v>544</v>
      </c>
      <c r="E82" s="30">
        <v>84</v>
      </c>
      <c r="F82" s="22" t="s">
        <v>87</v>
      </c>
      <c r="G82" s="23">
        <v>29</v>
      </c>
      <c r="H82" s="35">
        <f t="shared" ref="H82:H83" si="17">E82*G82</f>
        <v>2436</v>
      </c>
      <c r="I82" s="23">
        <v>10</v>
      </c>
      <c r="J82" s="125">
        <f t="shared" ref="J82:J83" si="18">E82*I82</f>
        <v>840</v>
      </c>
      <c r="K82" s="126">
        <f t="shared" ref="K82:K83" si="19">H82+J82</f>
        <v>3276</v>
      </c>
      <c r="L82" s="167">
        <f>27*1.07</f>
        <v>28.89</v>
      </c>
      <c r="M82" s="165">
        <f>G82*0.2</f>
        <v>5.8000000000000007</v>
      </c>
      <c r="N82" s="163" t="s">
        <v>1634</v>
      </c>
      <c r="O82" s="20"/>
      <c r="P82" s="30">
        <f>4*21</f>
        <v>84</v>
      </c>
      <c r="Q82" s="20"/>
      <c r="R82" s="16"/>
      <c r="S82" s="18"/>
    </row>
    <row r="83" spans="1:20" s="13" customFormat="1">
      <c r="A83" s="32"/>
      <c r="B83" s="31"/>
      <c r="C83" s="33"/>
      <c r="D83" s="180" t="s">
        <v>545</v>
      </c>
      <c r="E83" s="30">
        <v>80</v>
      </c>
      <c r="F83" s="22" t="s">
        <v>240</v>
      </c>
      <c r="G83" s="23">
        <v>33</v>
      </c>
      <c r="H83" s="35">
        <f t="shared" si="17"/>
        <v>2640</v>
      </c>
      <c r="I83" s="23">
        <v>10</v>
      </c>
      <c r="J83" s="125">
        <f t="shared" si="18"/>
        <v>800</v>
      </c>
      <c r="K83" s="126">
        <f t="shared" si="19"/>
        <v>3440</v>
      </c>
      <c r="L83" s="167">
        <f>30*1.07</f>
        <v>32.1</v>
      </c>
      <c r="M83" s="165">
        <f>G83*0.2</f>
        <v>6.6000000000000005</v>
      </c>
      <c r="N83" s="163" t="s">
        <v>1634</v>
      </c>
      <c r="O83" s="20"/>
      <c r="P83" s="30">
        <f>4*20</f>
        <v>80</v>
      </c>
      <c r="Q83" s="20"/>
      <c r="R83" s="16"/>
      <c r="S83" s="18"/>
    </row>
    <row r="84" spans="1:20">
      <c r="A84" s="117"/>
      <c r="B84" s="118"/>
      <c r="C84" s="127" t="s">
        <v>546</v>
      </c>
      <c r="D84" s="175" t="s">
        <v>547</v>
      </c>
      <c r="E84" s="121"/>
      <c r="F84" s="122"/>
      <c r="G84" s="123"/>
      <c r="H84" s="124"/>
      <c r="I84" s="123"/>
      <c r="J84" s="125"/>
      <c r="K84" s="126"/>
      <c r="M84" s="165"/>
      <c r="N84" s="163"/>
      <c r="O84" s="20"/>
      <c r="P84" s="17"/>
      <c r="Q84" s="20"/>
      <c r="R84" s="16"/>
      <c r="S84" s="18"/>
      <c r="T84" s="13"/>
    </row>
    <row r="85" spans="1:20">
      <c r="A85" s="117"/>
      <c r="B85" s="118"/>
      <c r="C85" s="127"/>
      <c r="D85" s="175" t="s">
        <v>548</v>
      </c>
      <c r="E85" s="30">
        <v>1</v>
      </c>
      <c r="F85" s="22" t="s">
        <v>240</v>
      </c>
      <c r="G85" s="23">
        <v>86</v>
      </c>
      <c r="H85" s="124">
        <f t="shared" ref="H85:H87" si="20">E85*G85</f>
        <v>86</v>
      </c>
      <c r="I85" s="123">
        <v>120</v>
      </c>
      <c r="J85" s="125">
        <f t="shared" ref="J85:J87" si="21">E85*I85</f>
        <v>120</v>
      </c>
      <c r="K85" s="126">
        <f t="shared" ref="K85:K87" si="22">H85+J85</f>
        <v>206</v>
      </c>
      <c r="L85" s="161">
        <f>80*1.07</f>
        <v>85.600000000000009</v>
      </c>
      <c r="M85" s="165"/>
      <c r="N85" s="163" t="s">
        <v>1635</v>
      </c>
      <c r="O85" s="20" t="s">
        <v>1636</v>
      </c>
      <c r="P85" s="30">
        <v>1</v>
      </c>
      <c r="Q85" s="20"/>
      <c r="R85" s="16"/>
      <c r="S85" s="18"/>
      <c r="T85" s="13"/>
    </row>
    <row r="86" spans="1:20">
      <c r="A86" s="117"/>
      <c r="B86" s="118"/>
      <c r="C86" s="127"/>
      <c r="D86" s="175" t="s">
        <v>549</v>
      </c>
      <c r="E86" s="30">
        <v>26</v>
      </c>
      <c r="F86" s="22" t="s">
        <v>240</v>
      </c>
      <c r="G86" s="23">
        <v>182</v>
      </c>
      <c r="H86" s="124">
        <f t="shared" si="20"/>
        <v>4732</v>
      </c>
      <c r="I86" s="123">
        <v>120</v>
      </c>
      <c r="J86" s="125">
        <f t="shared" si="21"/>
        <v>3120</v>
      </c>
      <c r="K86" s="126">
        <f t="shared" si="22"/>
        <v>7852</v>
      </c>
      <c r="L86" s="161">
        <f>170*1.07</f>
        <v>181.9</v>
      </c>
      <c r="M86" s="165"/>
      <c r="N86" s="163" t="s">
        <v>1613</v>
      </c>
      <c r="O86" s="20"/>
      <c r="P86" s="30">
        <f>(1*20)+6</f>
        <v>26</v>
      </c>
      <c r="Q86" s="20"/>
      <c r="R86" s="16"/>
      <c r="S86" s="18"/>
      <c r="T86" s="13"/>
    </row>
    <row r="87" spans="1:20">
      <c r="A87" s="117"/>
      <c r="B87" s="118"/>
      <c r="C87" s="127"/>
      <c r="D87" s="175" t="s">
        <v>550</v>
      </c>
      <c r="E87" s="30">
        <v>6</v>
      </c>
      <c r="F87" s="22" t="s">
        <v>240</v>
      </c>
      <c r="G87" s="23">
        <v>407</v>
      </c>
      <c r="H87" s="124">
        <f t="shared" si="20"/>
        <v>2442</v>
      </c>
      <c r="I87" s="123">
        <v>120</v>
      </c>
      <c r="J87" s="125">
        <f t="shared" si="21"/>
        <v>720</v>
      </c>
      <c r="K87" s="126">
        <f t="shared" si="22"/>
        <v>3162</v>
      </c>
      <c r="L87" s="161">
        <f>380*1.07</f>
        <v>406.6</v>
      </c>
      <c r="M87" s="165"/>
      <c r="N87" s="163" t="s">
        <v>1637</v>
      </c>
      <c r="O87" s="20"/>
      <c r="P87" s="17"/>
      <c r="Q87" s="20"/>
      <c r="R87" s="16"/>
      <c r="S87" s="18"/>
      <c r="T87" s="13"/>
    </row>
    <row r="88" spans="1:20">
      <c r="A88" s="117"/>
      <c r="B88" s="118"/>
      <c r="C88" s="127" t="s">
        <v>551</v>
      </c>
      <c r="D88" s="175" t="s">
        <v>552</v>
      </c>
      <c r="E88" s="121"/>
      <c r="F88" s="122"/>
      <c r="G88" s="123"/>
      <c r="H88" s="124"/>
      <c r="I88" s="123"/>
      <c r="J88" s="125"/>
      <c r="K88" s="126"/>
      <c r="M88" s="165"/>
      <c r="N88" s="163"/>
      <c r="O88" s="20"/>
      <c r="P88" s="17"/>
      <c r="Q88" s="20"/>
      <c r="R88" s="16"/>
      <c r="S88" s="18"/>
      <c r="T88" s="13"/>
    </row>
    <row r="89" spans="1:20">
      <c r="A89" s="117"/>
      <c r="B89" s="137"/>
      <c r="C89" s="137"/>
      <c r="D89" s="175" t="s">
        <v>553</v>
      </c>
      <c r="E89" s="121">
        <v>1</v>
      </c>
      <c r="F89" s="122" t="s">
        <v>277</v>
      </c>
      <c r="G89" s="176" t="s">
        <v>507</v>
      </c>
      <c r="H89" s="124">
        <v>0</v>
      </c>
      <c r="I89" s="123">
        <v>100</v>
      </c>
      <c r="J89" s="125">
        <f t="shared" ref="J89:J90" si="23">E89*I89</f>
        <v>100</v>
      </c>
      <c r="K89" s="126">
        <f t="shared" ref="K89:K90" si="24">H89+J89</f>
        <v>100</v>
      </c>
      <c r="M89" s="165"/>
      <c r="N89" s="163"/>
      <c r="O89" s="20"/>
      <c r="P89" s="17"/>
      <c r="Q89" s="20"/>
      <c r="R89" s="16"/>
      <c r="S89" s="18"/>
      <c r="T89" s="13"/>
    </row>
    <row r="90" spans="1:20">
      <c r="A90" s="117"/>
      <c r="B90" s="118"/>
      <c r="C90" s="127" t="s">
        <v>555</v>
      </c>
      <c r="D90" s="175" t="s">
        <v>556</v>
      </c>
      <c r="E90" s="121">
        <v>1</v>
      </c>
      <c r="F90" s="122" t="s">
        <v>277</v>
      </c>
      <c r="G90" s="181">
        <v>0</v>
      </c>
      <c r="H90" s="124">
        <v>0</v>
      </c>
      <c r="I90" s="23">
        <v>7500</v>
      </c>
      <c r="J90" s="36">
        <f t="shared" si="23"/>
        <v>7500</v>
      </c>
      <c r="K90" s="37">
        <f t="shared" si="24"/>
        <v>7500</v>
      </c>
      <c r="L90" s="182">
        <f>P90*60</f>
        <v>7425</v>
      </c>
      <c r="M90" s="165"/>
      <c r="N90" s="183"/>
      <c r="O90" s="20"/>
      <c r="P90" s="17">
        <f>((5*21)+290+100)*0.5*0.5</f>
        <v>123.75</v>
      </c>
      <c r="Q90" s="20"/>
      <c r="R90" s="16"/>
      <c r="S90" s="18"/>
      <c r="T90" s="13"/>
    </row>
    <row r="91" spans="1:20" ht="23.25">
      <c r="A91" s="117"/>
      <c r="B91" s="137"/>
      <c r="C91" s="127"/>
      <c r="D91" s="184" t="s">
        <v>1638</v>
      </c>
      <c r="E91" s="121"/>
      <c r="F91" s="122"/>
      <c r="G91" s="181"/>
      <c r="H91" s="185">
        <f>SUM(H12:H90)</f>
        <v>486513</v>
      </c>
      <c r="I91" s="23"/>
      <c r="J91" s="36"/>
      <c r="K91" s="37"/>
      <c r="L91" s="182"/>
      <c r="M91" s="165"/>
      <c r="N91" s="183"/>
      <c r="O91" s="20"/>
      <c r="P91" s="17"/>
      <c r="Q91" s="20"/>
      <c r="R91" s="16"/>
      <c r="S91" s="18"/>
      <c r="T91" s="13"/>
    </row>
    <row r="92" spans="1:20" s="161" customFormat="1">
      <c r="A92" s="186"/>
      <c r="B92" s="187"/>
      <c r="C92" s="188" t="s">
        <v>1639</v>
      </c>
      <c r="D92" s="189" t="s">
        <v>1640</v>
      </c>
      <c r="E92" s="190">
        <v>0.4</v>
      </c>
      <c r="F92" s="191" t="s">
        <v>277</v>
      </c>
      <c r="G92" s="166"/>
      <c r="H92" s="192">
        <f>H91*E92</f>
        <v>194605.2</v>
      </c>
      <c r="I92" s="193">
        <v>0</v>
      </c>
      <c r="J92" s="194">
        <f t="shared" ref="J92" si="25">E92*I92</f>
        <v>0</v>
      </c>
      <c r="K92" s="195">
        <f t="shared" ref="K92" si="26">H92+J92</f>
        <v>194605.2</v>
      </c>
      <c r="L92" s="182"/>
      <c r="M92" s="165"/>
      <c r="N92" s="183"/>
      <c r="O92" s="196"/>
      <c r="P92" s="197"/>
      <c r="Q92" s="196"/>
      <c r="R92" s="198"/>
      <c r="S92" s="199"/>
      <c r="T92" s="167"/>
    </row>
    <row r="93" spans="1:20">
      <c r="A93" s="117"/>
      <c r="B93" s="137"/>
      <c r="C93" s="138"/>
      <c r="D93" s="175"/>
      <c r="E93" s="121"/>
      <c r="F93" s="141"/>
      <c r="G93" s="142"/>
      <c r="H93" s="143"/>
      <c r="I93" s="144"/>
      <c r="J93" s="145"/>
      <c r="K93" s="146"/>
      <c r="M93" s="200"/>
      <c r="N93" s="201"/>
      <c r="O93" s="2"/>
      <c r="P93" s="8"/>
      <c r="Q93" s="147"/>
      <c r="R93" s="2"/>
      <c r="S93" s="9"/>
      <c r="T93" s="13"/>
    </row>
    <row r="94" spans="1:20">
      <c r="A94" s="136"/>
      <c r="B94" s="137"/>
      <c r="C94" s="138"/>
      <c r="D94" s="137" t="s">
        <v>13</v>
      </c>
      <c r="E94" s="140"/>
      <c r="F94" s="141"/>
      <c r="G94" s="142"/>
      <c r="H94" s="143">
        <f>SUM(H91:H93)</f>
        <v>681118.2</v>
      </c>
      <c r="I94" s="144"/>
      <c r="J94" s="143">
        <f>SUM(J11:J93)</f>
        <v>229178</v>
      </c>
      <c r="K94" s="146">
        <f>SUM(K12:K93)</f>
        <v>910296.2</v>
      </c>
      <c r="M94" s="200"/>
      <c r="N94" s="201"/>
      <c r="O94" s="2"/>
      <c r="P94" s="8"/>
      <c r="Q94" s="147"/>
      <c r="R94" s="2"/>
      <c r="S94" s="9"/>
      <c r="T94" s="13"/>
    </row>
    <row r="95" spans="1:20">
      <c r="A95" s="136"/>
      <c r="B95" s="137"/>
      <c r="C95" s="138"/>
      <c r="D95" s="148" t="s">
        <v>1641</v>
      </c>
      <c r="E95" s="140"/>
      <c r="F95" s="141"/>
      <c r="G95" s="142"/>
      <c r="H95" s="143"/>
      <c r="I95" s="144"/>
      <c r="J95" s="145"/>
      <c r="K95" s="146">
        <f>K94*10%</f>
        <v>91029.62</v>
      </c>
      <c r="M95" s="200"/>
      <c r="N95" s="201"/>
      <c r="O95" s="2"/>
      <c r="P95" s="8"/>
      <c r="Q95" s="147"/>
      <c r="R95" s="2"/>
      <c r="S95" s="9"/>
      <c r="T95" s="13"/>
    </row>
    <row r="96" spans="1:20" ht="22.5" thickBot="1">
      <c r="A96" s="1673" t="s">
        <v>1446</v>
      </c>
      <c r="B96" s="1674"/>
      <c r="C96" s="1674"/>
      <c r="D96" s="1674"/>
      <c r="E96" s="1674"/>
      <c r="F96" s="1675"/>
      <c r="G96" s="149"/>
      <c r="H96" s="149"/>
      <c r="I96" s="149"/>
      <c r="J96" s="149"/>
      <c r="K96" s="150">
        <f>K94+K95</f>
        <v>1001325.82</v>
      </c>
      <c r="M96" s="167"/>
      <c r="N96" s="167"/>
      <c r="O96" s="13"/>
      <c r="P96" s="18"/>
      <c r="Q96" s="18"/>
      <c r="R96" s="18"/>
      <c r="S96" s="18"/>
      <c r="T96" s="13"/>
    </row>
    <row r="97" spans="10:20">
      <c r="M97" s="167"/>
      <c r="N97" s="167"/>
      <c r="O97" s="13"/>
      <c r="P97" s="13"/>
      <c r="Q97" s="13"/>
      <c r="R97" s="13"/>
      <c r="S97" s="13"/>
      <c r="T97" s="13"/>
    </row>
    <row r="98" spans="10:20">
      <c r="M98" s="167"/>
      <c r="N98" s="167"/>
      <c r="O98" s="13"/>
      <c r="P98" s="13"/>
      <c r="Q98" s="13"/>
      <c r="R98" s="13"/>
      <c r="S98" s="13"/>
      <c r="T98" s="13"/>
    </row>
    <row r="101" spans="10:20">
      <c r="J101" s="12" t="s">
        <v>502</v>
      </c>
    </row>
  </sheetData>
  <mergeCells count="18">
    <mergeCell ref="S7:S8"/>
    <mergeCell ref="A96:F96"/>
    <mergeCell ref="I7:J7"/>
    <mergeCell ref="K7:K8"/>
    <mergeCell ref="M7:M9"/>
    <mergeCell ref="N7:N9"/>
    <mergeCell ref="O7:P7"/>
    <mergeCell ref="Q7:R7"/>
    <mergeCell ref="A7:A9"/>
    <mergeCell ref="B7:D9"/>
    <mergeCell ref="E7:E9"/>
    <mergeCell ref="F7:F9"/>
    <mergeCell ref="G7:H7"/>
    <mergeCell ref="A1:K1"/>
    <mergeCell ref="A2:K2"/>
    <mergeCell ref="A3:K3"/>
    <mergeCell ref="S4:S5"/>
    <mergeCell ref="M6:S6"/>
  </mergeCells>
  <pageMargins left="0.2" right="0.2" top="0.5" bottom="0.5" header="0.3" footer="0.3"/>
  <pageSetup paperSize="8" scale="81" fitToHeight="0" orientation="landscape" r:id="rId1"/>
  <colBreaks count="1" manualBreakCount="1">
    <brk id="11" max="26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78"/>
  <sheetViews>
    <sheetView tabSelected="1" view="pageBreakPreview" zoomScale="70" zoomScaleNormal="85" zoomScaleSheetLayoutView="70" workbookViewId="0">
      <pane ySplit="7" topLeftCell="A63" activePane="bottomLeft" state="frozen"/>
      <selection pane="bottomLeft" activeCell="B70" sqref="B70"/>
    </sheetView>
  </sheetViews>
  <sheetFormatPr defaultRowHeight="21" outlineLevelRow="1"/>
  <cols>
    <col min="1" max="1" width="7" style="240" customWidth="1"/>
    <col min="2" max="2" width="54.140625" style="518" customWidth="1"/>
    <col min="3" max="3" width="17.85546875" style="240" customWidth="1"/>
    <col min="4" max="4" width="12" style="241" customWidth="1"/>
    <col min="5" max="5" width="15.7109375" style="240" bestFit="1" customWidth="1"/>
    <col min="6" max="6" width="19" style="240" customWidth="1"/>
    <col min="7" max="7" width="19.5703125" style="240" customWidth="1"/>
    <col min="8" max="8" width="9.140625" style="240"/>
    <col min="9" max="9" width="17.85546875" style="240" customWidth="1"/>
    <col min="10" max="256" width="9.140625" style="240"/>
    <col min="257" max="257" width="7" style="240" customWidth="1"/>
    <col min="258" max="258" width="45.28515625" style="240" customWidth="1"/>
    <col min="259" max="259" width="17.85546875" style="240" customWidth="1"/>
    <col min="260" max="260" width="12" style="240" customWidth="1"/>
    <col min="261" max="261" width="14.7109375" style="240" bestFit="1" customWidth="1"/>
    <col min="262" max="262" width="19" style="240" customWidth="1"/>
    <col min="263" max="263" width="19.5703125" style="240" customWidth="1"/>
    <col min="264" max="264" width="9.140625" style="240"/>
    <col min="265" max="265" width="17.85546875" style="240" customWidth="1"/>
    <col min="266" max="512" width="9.140625" style="240"/>
    <col min="513" max="513" width="7" style="240" customWidth="1"/>
    <col min="514" max="514" width="45.28515625" style="240" customWidth="1"/>
    <col min="515" max="515" width="17.85546875" style="240" customWidth="1"/>
    <col min="516" max="516" width="12" style="240" customWidth="1"/>
    <col min="517" max="517" width="14.7109375" style="240" bestFit="1" customWidth="1"/>
    <col min="518" max="518" width="19" style="240" customWidth="1"/>
    <col min="519" max="519" width="19.5703125" style="240" customWidth="1"/>
    <col min="520" max="520" width="9.140625" style="240"/>
    <col min="521" max="521" width="17.85546875" style="240" customWidth="1"/>
    <col min="522" max="768" width="9.140625" style="240"/>
    <col min="769" max="769" width="7" style="240" customWidth="1"/>
    <col min="770" max="770" width="45.28515625" style="240" customWidth="1"/>
    <col min="771" max="771" width="17.85546875" style="240" customWidth="1"/>
    <col min="772" max="772" width="12" style="240" customWidth="1"/>
    <col min="773" max="773" width="14.7109375" style="240" bestFit="1" customWidth="1"/>
    <col min="774" max="774" width="19" style="240" customWidth="1"/>
    <col min="775" max="775" width="19.5703125" style="240" customWidth="1"/>
    <col min="776" max="776" width="9.140625" style="240"/>
    <col min="777" max="777" width="17.85546875" style="240" customWidth="1"/>
    <col min="778" max="1024" width="9.140625" style="240"/>
    <col min="1025" max="1025" width="7" style="240" customWidth="1"/>
    <col min="1026" max="1026" width="45.28515625" style="240" customWidth="1"/>
    <col min="1027" max="1027" width="17.85546875" style="240" customWidth="1"/>
    <col min="1028" max="1028" width="12" style="240" customWidth="1"/>
    <col min="1029" max="1029" width="14.7109375" style="240" bestFit="1" customWidth="1"/>
    <col min="1030" max="1030" width="19" style="240" customWidth="1"/>
    <col min="1031" max="1031" width="19.5703125" style="240" customWidth="1"/>
    <col min="1032" max="1032" width="9.140625" style="240"/>
    <col min="1033" max="1033" width="17.85546875" style="240" customWidth="1"/>
    <col min="1034" max="1280" width="9.140625" style="240"/>
    <col min="1281" max="1281" width="7" style="240" customWidth="1"/>
    <col min="1282" max="1282" width="45.28515625" style="240" customWidth="1"/>
    <col min="1283" max="1283" width="17.85546875" style="240" customWidth="1"/>
    <col min="1284" max="1284" width="12" style="240" customWidth="1"/>
    <col min="1285" max="1285" width="14.7109375" style="240" bestFit="1" customWidth="1"/>
    <col min="1286" max="1286" width="19" style="240" customWidth="1"/>
    <col min="1287" max="1287" width="19.5703125" style="240" customWidth="1"/>
    <col min="1288" max="1288" width="9.140625" style="240"/>
    <col min="1289" max="1289" width="17.85546875" style="240" customWidth="1"/>
    <col min="1290" max="1536" width="9.140625" style="240"/>
    <col min="1537" max="1537" width="7" style="240" customWidth="1"/>
    <col min="1538" max="1538" width="45.28515625" style="240" customWidth="1"/>
    <col min="1539" max="1539" width="17.85546875" style="240" customWidth="1"/>
    <col min="1540" max="1540" width="12" style="240" customWidth="1"/>
    <col min="1541" max="1541" width="14.7109375" style="240" bestFit="1" customWidth="1"/>
    <col min="1542" max="1542" width="19" style="240" customWidth="1"/>
    <col min="1543" max="1543" width="19.5703125" style="240" customWidth="1"/>
    <col min="1544" max="1544" width="9.140625" style="240"/>
    <col min="1545" max="1545" width="17.85546875" style="240" customWidth="1"/>
    <col min="1546" max="1792" width="9.140625" style="240"/>
    <col min="1793" max="1793" width="7" style="240" customWidth="1"/>
    <col min="1794" max="1794" width="45.28515625" style="240" customWidth="1"/>
    <col min="1795" max="1795" width="17.85546875" style="240" customWidth="1"/>
    <col min="1796" max="1796" width="12" style="240" customWidth="1"/>
    <col min="1797" max="1797" width="14.7109375" style="240" bestFit="1" customWidth="1"/>
    <col min="1798" max="1798" width="19" style="240" customWidth="1"/>
    <col min="1799" max="1799" width="19.5703125" style="240" customWidth="1"/>
    <col min="1800" max="1800" width="9.140625" style="240"/>
    <col min="1801" max="1801" width="17.85546875" style="240" customWidth="1"/>
    <col min="1802" max="2048" width="9.140625" style="240"/>
    <col min="2049" max="2049" width="7" style="240" customWidth="1"/>
    <col min="2050" max="2050" width="45.28515625" style="240" customWidth="1"/>
    <col min="2051" max="2051" width="17.85546875" style="240" customWidth="1"/>
    <col min="2052" max="2052" width="12" style="240" customWidth="1"/>
    <col min="2053" max="2053" width="14.7109375" style="240" bestFit="1" customWidth="1"/>
    <col min="2054" max="2054" width="19" style="240" customWidth="1"/>
    <col min="2055" max="2055" width="19.5703125" style="240" customWidth="1"/>
    <col min="2056" max="2056" width="9.140625" style="240"/>
    <col min="2057" max="2057" width="17.85546875" style="240" customWidth="1"/>
    <col min="2058" max="2304" width="9.140625" style="240"/>
    <col min="2305" max="2305" width="7" style="240" customWidth="1"/>
    <col min="2306" max="2306" width="45.28515625" style="240" customWidth="1"/>
    <col min="2307" max="2307" width="17.85546875" style="240" customWidth="1"/>
    <col min="2308" max="2308" width="12" style="240" customWidth="1"/>
    <col min="2309" max="2309" width="14.7109375" style="240" bestFit="1" customWidth="1"/>
    <col min="2310" max="2310" width="19" style="240" customWidth="1"/>
    <col min="2311" max="2311" width="19.5703125" style="240" customWidth="1"/>
    <col min="2312" max="2312" width="9.140625" style="240"/>
    <col min="2313" max="2313" width="17.85546875" style="240" customWidth="1"/>
    <col min="2314" max="2560" width="9.140625" style="240"/>
    <col min="2561" max="2561" width="7" style="240" customWidth="1"/>
    <col min="2562" max="2562" width="45.28515625" style="240" customWidth="1"/>
    <col min="2563" max="2563" width="17.85546875" style="240" customWidth="1"/>
    <col min="2564" max="2564" width="12" style="240" customWidth="1"/>
    <col min="2565" max="2565" width="14.7109375" style="240" bestFit="1" customWidth="1"/>
    <col min="2566" max="2566" width="19" style="240" customWidth="1"/>
    <col min="2567" max="2567" width="19.5703125" style="240" customWidth="1"/>
    <col min="2568" max="2568" width="9.140625" style="240"/>
    <col min="2569" max="2569" width="17.85546875" style="240" customWidth="1"/>
    <col min="2570" max="2816" width="9.140625" style="240"/>
    <col min="2817" max="2817" width="7" style="240" customWidth="1"/>
    <col min="2818" max="2818" width="45.28515625" style="240" customWidth="1"/>
    <col min="2819" max="2819" width="17.85546875" style="240" customWidth="1"/>
    <col min="2820" max="2820" width="12" style="240" customWidth="1"/>
    <col min="2821" max="2821" width="14.7109375" style="240" bestFit="1" customWidth="1"/>
    <col min="2822" max="2822" width="19" style="240" customWidth="1"/>
    <col min="2823" max="2823" width="19.5703125" style="240" customWidth="1"/>
    <col min="2824" max="2824" width="9.140625" style="240"/>
    <col min="2825" max="2825" width="17.85546875" style="240" customWidth="1"/>
    <col min="2826" max="3072" width="9.140625" style="240"/>
    <col min="3073" max="3073" width="7" style="240" customWidth="1"/>
    <col min="3074" max="3074" width="45.28515625" style="240" customWidth="1"/>
    <col min="3075" max="3075" width="17.85546875" style="240" customWidth="1"/>
    <col min="3076" max="3076" width="12" style="240" customWidth="1"/>
    <col min="3077" max="3077" width="14.7109375" style="240" bestFit="1" customWidth="1"/>
    <col min="3078" max="3078" width="19" style="240" customWidth="1"/>
    <col min="3079" max="3079" width="19.5703125" style="240" customWidth="1"/>
    <col min="3080" max="3080" width="9.140625" style="240"/>
    <col min="3081" max="3081" width="17.85546875" style="240" customWidth="1"/>
    <col min="3082" max="3328" width="9.140625" style="240"/>
    <col min="3329" max="3329" width="7" style="240" customWidth="1"/>
    <col min="3330" max="3330" width="45.28515625" style="240" customWidth="1"/>
    <col min="3331" max="3331" width="17.85546875" style="240" customWidth="1"/>
    <col min="3332" max="3332" width="12" style="240" customWidth="1"/>
    <col min="3333" max="3333" width="14.7109375" style="240" bestFit="1" customWidth="1"/>
    <col min="3334" max="3334" width="19" style="240" customWidth="1"/>
    <col min="3335" max="3335" width="19.5703125" style="240" customWidth="1"/>
    <col min="3336" max="3336" width="9.140625" style="240"/>
    <col min="3337" max="3337" width="17.85546875" style="240" customWidth="1"/>
    <col min="3338" max="3584" width="9.140625" style="240"/>
    <col min="3585" max="3585" width="7" style="240" customWidth="1"/>
    <col min="3586" max="3586" width="45.28515625" style="240" customWidth="1"/>
    <col min="3587" max="3587" width="17.85546875" style="240" customWidth="1"/>
    <col min="3588" max="3588" width="12" style="240" customWidth="1"/>
    <col min="3589" max="3589" width="14.7109375" style="240" bestFit="1" customWidth="1"/>
    <col min="3590" max="3590" width="19" style="240" customWidth="1"/>
    <col min="3591" max="3591" width="19.5703125" style="240" customWidth="1"/>
    <col min="3592" max="3592" width="9.140625" style="240"/>
    <col min="3593" max="3593" width="17.85546875" style="240" customWidth="1"/>
    <col min="3594" max="3840" width="9.140625" style="240"/>
    <col min="3841" max="3841" width="7" style="240" customWidth="1"/>
    <col min="3842" max="3842" width="45.28515625" style="240" customWidth="1"/>
    <col min="3843" max="3843" width="17.85546875" style="240" customWidth="1"/>
    <col min="3844" max="3844" width="12" style="240" customWidth="1"/>
    <col min="3845" max="3845" width="14.7109375" style="240" bestFit="1" customWidth="1"/>
    <col min="3846" max="3846" width="19" style="240" customWidth="1"/>
    <col min="3847" max="3847" width="19.5703125" style="240" customWidth="1"/>
    <col min="3848" max="3848" width="9.140625" style="240"/>
    <col min="3849" max="3849" width="17.85546875" style="240" customWidth="1"/>
    <col min="3850" max="4096" width="9.140625" style="240"/>
    <col min="4097" max="4097" width="7" style="240" customWidth="1"/>
    <col min="4098" max="4098" width="45.28515625" style="240" customWidth="1"/>
    <col min="4099" max="4099" width="17.85546875" style="240" customWidth="1"/>
    <col min="4100" max="4100" width="12" style="240" customWidth="1"/>
    <col min="4101" max="4101" width="14.7109375" style="240" bestFit="1" customWidth="1"/>
    <col min="4102" max="4102" width="19" style="240" customWidth="1"/>
    <col min="4103" max="4103" width="19.5703125" style="240" customWidth="1"/>
    <col min="4104" max="4104" width="9.140625" style="240"/>
    <col min="4105" max="4105" width="17.85546875" style="240" customWidth="1"/>
    <col min="4106" max="4352" width="9.140625" style="240"/>
    <col min="4353" max="4353" width="7" style="240" customWidth="1"/>
    <col min="4354" max="4354" width="45.28515625" style="240" customWidth="1"/>
    <col min="4355" max="4355" width="17.85546875" style="240" customWidth="1"/>
    <col min="4356" max="4356" width="12" style="240" customWidth="1"/>
    <col min="4357" max="4357" width="14.7109375" style="240" bestFit="1" customWidth="1"/>
    <col min="4358" max="4358" width="19" style="240" customWidth="1"/>
    <col min="4359" max="4359" width="19.5703125" style="240" customWidth="1"/>
    <col min="4360" max="4360" width="9.140625" style="240"/>
    <col min="4361" max="4361" width="17.85546875" style="240" customWidth="1"/>
    <col min="4362" max="4608" width="9.140625" style="240"/>
    <col min="4609" max="4609" width="7" style="240" customWidth="1"/>
    <col min="4610" max="4610" width="45.28515625" style="240" customWidth="1"/>
    <col min="4611" max="4611" width="17.85546875" style="240" customWidth="1"/>
    <col min="4612" max="4612" width="12" style="240" customWidth="1"/>
    <col min="4613" max="4613" width="14.7109375" style="240" bestFit="1" customWidth="1"/>
    <col min="4614" max="4614" width="19" style="240" customWidth="1"/>
    <col min="4615" max="4615" width="19.5703125" style="240" customWidth="1"/>
    <col min="4616" max="4616" width="9.140625" style="240"/>
    <col min="4617" max="4617" width="17.85546875" style="240" customWidth="1"/>
    <col min="4618" max="4864" width="9.140625" style="240"/>
    <col min="4865" max="4865" width="7" style="240" customWidth="1"/>
    <col min="4866" max="4866" width="45.28515625" style="240" customWidth="1"/>
    <col min="4867" max="4867" width="17.85546875" style="240" customWidth="1"/>
    <col min="4868" max="4868" width="12" style="240" customWidth="1"/>
    <col min="4869" max="4869" width="14.7109375" style="240" bestFit="1" customWidth="1"/>
    <col min="4870" max="4870" width="19" style="240" customWidth="1"/>
    <col min="4871" max="4871" width="19.5703125" style="240" customWidth="1"/>
    <col min="4872" max="4872" width="9.140625" style="240"/>
    <col min="4873" max="4873" width="17.85546875" style="240" customWidth="1"/>
    <col min="4874" max="5120" width="9.140625" style="240"/>
    <col min="5121" max="5121" width="7" style="240" customWidth="1"/>
    <col min="5122" max="5122" width="45.28515625" style="240" customWidth="1"/>
    <col min="5123" max="5123" width="17.85546875" style="240" customWidth="1"/>
    <col min="5124" max="5124" width="12" style="240" customWidth="1"/>
    <col min="5125" max="5125" width="14.7109375" style="240" bestFit="1" customWidth="1"/>
    <col min="5126" max="5126" width="19" style="240" customWidth="1"/>
    <col min="5127" max="5127" width="19.5703125" style="240" customWidth="1"/>
    <col min="5128" max="5128" width="9.140625" style="240"/>
    <col min="5129" max="5129" width="17.85546875" style="240" customWidth="1"/>
    <col min="5130" max="5376" width="9.140625" style="240"/>
    <col min="5377" max="5377" width="7" style="240" customWidth="1"/>
    <col min="5378" max="5378" width="45.28515625" style="240" customWidth="1"/>
    <col min="5379" max="5379" width="17.85546875" style="240" customWidth="1"/>
    <col min="5380" max="5380" width="12" style="240" customWidth="1"/>
    <col min="5381" max="5381" width="14.7109375" style="240" bestFit="1" customWidth="1"/>
    <col min="5382" max="5382" width="19" style="240" customWidth="1"/>
    <col min="5383" max="5383" width="19.5703125" style="240" customWidth="1"/>
    <col min="5384" max="5384" width="9.140625" style="240"/>
    <col min="5385" max="5385" width="17.85546875" style="240" customWidth="1"/>
    <col min="5386" max="5632" width="9.140625" style="240"/>
    <col min="5633" max="5633" width="7" style="240" customWidth="1"/>
    <col min="5634" max="5634" width="45.28515625" style="240" customWidth="1"/>
    <col min="5635" max="5635" width="17.85546875" style="240" customWidth="1"/>
    <col min="5636" max="5636" width="12" style="240" customWidth="1"/>
    <col min="5637" max="5637" width="14.7109375" style="240" bestFit="1" customWidth="1"/>
    <col min="5638" max="5638" width="19" style="240" customWidth="1"/>
    <col min="5639" max="5639" width="19.5703125" style="240" customWidth="1"/>
    <col min="5640" max="5640" width="9.140625" style="240"/>
    <col min="5641" max="5641" width="17.85546875" style="240" customWidth="1"/>
    <col min="5642" max="5888" width="9.140625" style="240"/>
    <col min="5889" max="5889" width="7" style="240" customWidth="1"/>
    <col min="5890" max="5890" width="45.28515625" style="240" customWidth="1"/>
    <col min="5891" max="5891" width="17.85546875" style="240" customWidth="1"/>
    <col min="5892" max="5892" width="12" style="240" customWidth="1"/>
    <col min="5893" max="5893" width="14.7109375" style="240" bestFit="1" customWidth="1"/>
    <col min="5894" max="5894" width="19" style="240" customWidth="1"/>
    <col min="5895" max="5895" width="19.5703125" style="240" customWidth="1"/>
    <col min="5896" max="5896" width="9.140625" style="240"/>
    <col min="5897" max="5897" width="17.85546875" style="240" customWidth="1"/>
    <col min="5898" max="6144" width="9.140625" style="240"/>
    <col min="6145" max="6145" width="7" style="240" customWidth="1"/>
    <col min="6146" max="6146" width="45.28515625" style="240" customWidth="1"/>
    <col min="6147" max="6147" width="17.85546875" style="240" customWidth="1"/>
    <col min="6148" max="6148" width="12" style="240" customWidth="1"/>
    <col min="6149" max="6149" width="14.7109375" style="240" bestFit="1" customWidth="1"/>
    <col min="6150" max="6150" width="19" style="240" customWidth="1"/>
    <col min="6151" max="6151" width="19.5703125" style="240" customWidth="1"/>
    <col min="6152" max="6152" width="9.140625" style="240"/>
    <col min="6153" max="6153" width="17.85546875" style="240" customWidth="1"/>
    <col min="6154" max="6400" width="9.140625" style="240"/>
    <col min="6401" max="6401" width="7" style="240" customWidth="1"/>
    <col min="6402" max="6402" width="45.28515625" style="240" customWidth="1"/>
    <col min="6403" max="6403" width="17.85546875" style="240" customWidth="1"/>
    <col min="6404" max="6404" width="12" style="240" customWidth="1"/>
    <col min="6405" max="6405" width="14.7109375" style="240" bestFit="1" customWidth="1"/>
    <col min="6406" max="6406" width="19" style="240" customWidth="1"/>
    <col min="6407" max="6407" width="19.5703125" style="240" customWidth="1"/>
    <col min="6408" max="6408" width="9.140625" style="240"/>
    <col min="6409" max="6409" width="17.85546875" style="240" customWidth="1"/>
    <col min="6410" max="6656" width="9.140625" style="240"/>
    <col min="6657" max="6657" width="7" style="240" customWidth="1"/>
    <col min="6658" max="6658" width="45.28515625" style="240" customWidth="1"/>
    <col min="6659" max="6659" width="17.85546875" style="240" customWidth="1"/>
    <col min="6660" max="6660" width="12" style="240" customWidth="1"/>
    <col min="6661" max="6661" width="14.7109375" style="240" bestFit="1" customWidth="1"/>
    <col min="6662" max="6662" width="19" style="240" customWidth="1"/>
    <col min="6663" max="6663" width="19.5703125" style="240" customWidth="1"/>
    <col min="6664" max="6664" width="9.140625" style="240"/>
    <col min="6665" max="6665" width="17.85546875" style="240" customWidth="1"/>
    <col min="6666" max="6912" width="9.140625" style="240"/>
    <col min="6913" max="6913" width="7" style="240" customWidth="1"/>
    <col min="6914" max="6914" width="45.28515625" style="240" customWidth="1"/>
    <col min="6915" max="6915" width="17.85546875" style="240" customWidth="1"/>
    <col min="6916" max="6916" width="12" style="240" customWidth="1"/>
    <col min="6917" max="6917" width="14.7109375" style="240" bestFit="1" customWidth="1"/>
    <col min="6918" max="6918" width="19" style="240" customWidth="1"/>
    <col min="6919" max="6919" width="19.5703125" style="240" customWidth="1"/>
    <col min="6920" max="6920" width="9.140625" style="240"/>
    <col min="6921" max="6921" width="17.85546875" style="240" customWidth="1"/>
    <col min="6922" max="7168" width="9.140625" style="240"/>
    <col min="7169" max="7169" width="7" style="240" customWidth="1"/>
    <col min="7170" max="7170" width="45.28515625" style="240" customWidth="1"/>
    <col min="7171" max="7171" width="17.85546875" style="240" customWidth="1"/>
    <col min="7172" max="7172" width="12" style="240" customWidth="1"/>
    <col min="7173" max="7173" width="14.7109375" style="240" bestFit="1" customWidth="1"/>
    <col min="7174" max="7174" width="19" style="240" customWidth="1"/>
    <col min="7175" max="7175" width="19.5703125" style="240" customWidth="1"/>
    <col min="7176" max="7176" width="9.140625" style="240"/>
    <col min="7177" max="7177" width="17.85546875" style="240" customWidth="1"/>
    <col min="7178" max="7424" width="9.140625" style="240"/>
    <col min="7425" max="7425" width="7" style="240" customWidth="1"/>
    <col min="7426" max="7426" width="45.28515625" style="240" customWidth="1"/>
    <col min="7427" max="7427" width="17.85546875" style="240" customWidth="1"/>
    <col min="7428" max="7428" width="12" style="240" customWidth="1"/>
    <col min="7429" max="7429" width="14.7109375" style="240" bestFit="1" customWidth="1"/>
    <col min="7430" max="7430" width="19" style="240" customWidth="1"/>
    <col min="7431" max="7431" width="19.5703125" style="240" customWidth="1"/>
    <col min="7432" max="7432" width="9.140625" style="240"/>
    <col min="7433" max="7433" width="17.85546875" style="240" customWidth="1"/>
    <col min="7434" max="7680" width="9.140625" style="240"/>
    <col min="7681" max="7681" width="7" style="240" customWidth="1"/>
    <col min="7682" max="7682" width="45.28515625" style="240" customWidth="1"/>
    <col min="7683" max="7683" width="17.85546875" style="240" customWidth="1"/>
    <col min="7684" max="7684" width="12" style="240" customWidth="1"/>
    <col min="7685" max="7685" width="14.7109375" style="240" bestFit="1" customWidth="1"/>
    <col min="7686" max="7686" width="19" style="240" customWidth="1"/>
    <col min="7687" max="7687" width="19.5703125" style="240" customWidth="1"/>
    <col min="7688" max="7688" width="9.140625" style="240"/>
    <col min="7689" max="7689" width="17.85546875" style="240" customWidth="1"/>
    <col min="7690" max="7936" width="9.140625" style="240"/>
    <col min="7937" max="7937" width="7" style="240" customWidth="1"/>
    <col min="7938" max="7938" width="45.28515625" style="240" customWidth="1"/>
    <col min="7939" max="7939" width="17.85546875" style="240" customWidth="1"/>
    <col min="7940" max="7940" width="12" style="240" customWidth="1"/>
    <col min="7941" max="7941" width="14.7109375" style="240" bestFit="1" customWidth="1"/>
    <col min="7942" max="7942" width="19" style="240" customWidth="1"/>
    <col min="7943" max="7943" width="19.5703125" style="240" customWidth="1"/>
    <col min="7944" max="7944" width="9.140625" style="240"/>
    <col min="7945" max="7945" width="17.85546875" style="240" customWidth="1"/>
    <col min="7946" max="8192" width="9.140625" style="240"/>
    <col min="8193" max="8193" width="7" style="240" customWidth="1"/>
    <col min="8194" max="8194" width="45.28515625" style="240" customWidth="1"/>
    <col min="8195" max="8195" width="17.85546875" style="240" customWidth="1"/>
    <col min="8196" max="8196" width="12" style="240" customWidth="1"/>
    <col min="8197" max="8197" width="14.7109375" style="240" bestFit="1" customWidth="1"/>
    <col min="8198" max="8198" width="19" style="240" customWidth="1"/>
    <col min="8199" max="8199" width="19.5703125" style="240" customWidth="1"/>
    <col min="8200" max="8200" width="9.140625" style="240"/>
    <col min="8201" max="8201" width="17.85546875" style="240" customWidth="1"/>
    <col min="8202" max="8448" width="9.140625" style="240"/>
    <col min="8449" max="8449" width="7" style="240" customWidth="1"/>
    <col min="8450" max="8450" width="45.28515625" style="240" customWidth="1"/>
    <col min="8451" max="8451" width="17.85546875" style="240" customWidth="1"/>
    <col min="8452" max="8452" width="12" style="240" customWidth="1"/>
    <col min="8453" max="8453" width="14.7109375" style="240" bestFit="1" customWidth="1"/>
    <col min="8454" max="8454" width="19" style="240" customWidth="1"/>
    <col min="8455" max="8455" width="19.5703125" style="240" customWidth="1"/>
    <col min="8456" max="8456" width="9.140625" style="240"/>
    <col min="8457" max="8457" width="17.85546875" style="240" customWidth="1"/>
    <col min="8458" max="8704" width="9.140625" style="240"/>
    <col min="8705" max="8705" width="7" style="240" customWidth="1"/>
    <col min="8706" max="8706" width="45.28515625" style="240" customWidth="1"/>
    <col min="8707" max="8707" width="17.85546875" style="240" customWidth="1"/>
    <col min="8708" max="8708" width="12" style="240" customWidth="1"/>
    <col min="8709" max="8709" width="14.7109375" style="240" bestFit="1" customWidth="1"/>
    <col min="8710" max="8710" width="19" style="240" customWidth="1"/>
    <col min="8711" max="8711" width="19.5703125" style="240" customWidth="1"/>
    <col min="8712" max="8712" width="9.140625" style="240"/>
    <col min="8713" max="8713" width="17.85546875" style="240" customWidth="1"/>
    <col min="8714" max="8960" width="9.140625" style="240"/>
    <col min="8961" max="8961" width="7" style="240" customWidth="1"/>
    <col min="8962" max="8962" width="45.28515625" style="240" customWidth="1"/>
    <col min="8963" max="8963" width="17.85546875" style="240" customWidth="1"/>
    <col min="8964" max="8964" width="12" style="240" customWidth="1"/>
    <col min="8965" max="8965" width="14.7109375" style="240" bestFit="1" customWidth="1"/>
    <col min="8966" max="8966" width="19" style="240" customWidth="1"/>
    <col min="8967" max="8967" width="19.5703125" style="240" customWidth="1"/>
    <col min="8968" max="8968" width="9.140625" style="240"/>
    <col min="8969" max="8969" width="17.85546875" style="240" customWidth="1"/>
    <col min="8970" max="9216" width="9.140625" style="240"/>
    <col min="9217" max="9217" width="7" style="240" customWidth="1"/>
    <col min="9218" max="9218" width="45.28515625" style="240" customWidth="1"/>
    <col min="9219" max="9219" width="17.85546875" style="240" customWidth="1"/>
    <col min="9220" max="9220" width="12" style="240" customWidth="1"/>
    <col min="9221" max="9221" width="14.7109375" style="240" bestFit="1" customWidth="1"/>
    <col min="9222" max="9222" width="19" style="240" customWidth="1"/>
    <col min="9223" max="9223" width="19.5703125" style="240" customWidth="1"/>
    <col min="9224" max="9224" width="9.140625" style="240"/>
    <col min="9225" max="9225" width="17.85546875" style="240" customWidth="1"/>
    <col min="9226" max="9472" width="9.140625" style="240"/>
    <col min="9473" max="9473" width="7" style="240" customWidth="1"/>
    <col min="9474" max="9474" width="45.28515625" style="240" customWidth="1"/>
    <col min="9475" max="9475" width="17.85546875" style="240" customWidth="1"/>
    <col min="9476" max="9476" width="12" style="240" customWidth="1"/>
    <col min="9477" max="9477" width="14.7109375" style="240" bestFit="1" customWidth="1"/>
    <col min="9478" max="9478" width="19" style="240" customWidth="1"/>
    <col min="9479" max="9479" width="19.5703125" style="240" customWidth="1"/>
    <col min="9480" max="9480" width="9.140625" style="240"/>
    <col min="9481" max="9481" width="17.85546875" style="240" customWidth="1"/>
    <col min="9482" max="9728" width="9.140625" style="240"/>
    <col min="9729" max="9729" width="7" style="240" customWidth="1"/>
    <col min="9730" max="9730" width="45.28515625" style="240" customWidth="1"/>
    <col min="9731" max="9731" width="17.85546875" style="240" customWidth="1"/>
    <col min="9732" max="9732" width="12" style="240" customWidth="1"/>
    <col min="9733" max="9733" width="14.7109375" style="240" bestFit="1" customWidth="1"/>
    <col min="9734" max="9734" width="19" style="240" customWidth="1"/>
    <col min="9735" max="9735" width="19.5703125" style="240" customWidth="1"/>
    <col min="9736" max="9736" width="9.140625" style="240"/>
    <col min="9737" max="9737" width="17.85546875" style="240" customWidth="1"/>
    <col min="9738" max="9984" width="9.140625" style="240"/>
    <col min="9985" max="9985" width="7" style="240" customWidth="1"/>
    <col min="9986" max="9986" width="45.28515625" style="240" customWidth="1"/>
    <col min="9987" max="9987" width="17.85546875" style="240" customWidth="1"/>
    <col min="9988" max="9988" width="12" style="240" customWidth="1"/>
    <col min="9989" max="9989" width="14.7109375" style="240" bestFit="1" customWidth="1"/>
    <col min="9990" max="9990" width="19" style="240" customWidth="1"/>
    <col min="9991" max="9991" width="19.5703125" style="240" customWidth="1"/>
    <col min="9992" max="9992" width="9.140625" style="240"/>
    <col min="9993" max="9993" width="17.85546875" style="240" customWidth="1"/>
    <col min="9994" max="10240" width="9.140625" style="240"/>
    <col min="10241" max="10241" width="7" style="240" customWidth="1"/>
    <col min="10242" max="10242" width="45.28515625" style="240" customWidth="1"/>
    <col min="10243" max="10243" width="17.85546875" style="240" customWidth="1"/>
    <col min="10244" max="10244" width="12" style="240" customWidth="1"/>
    <col min="10245" max="10245" width="14.7109375" style="240" bestFit="1" customWidth="1"/>
    <col min="10246" max="10246" width="19" style="240" customWidth="1"/>
    <col min="10247" max="10247" width="19.5703125" style="240" customWidth="1"/>
    <col min="10248" max="10248" width="9.140625" style="240"/>
    <col min="10249" max="10249" width="17.85546875" style="240" customWidth="1"/>
    <col min="10250" max="10496" width="9.140625" style="240"/>
    <col min="10497" max="10497" width="7" style="240" customWidth="1"/>
    <col min="10498" max="10498" width="45.28515625" style="240" customWidth="1"/>
    <col min="10499" max="10499" width="17.85546875" style="240" customWidth="1"/>
    <col min="10500" max="10500" width="12" style="240" customWidth="1"/>
    <col min="10501" max="10501" width="14.7109375" style="240" bestFit="1" customWidth="1"/>
    <col min="10502" max="10502" width="19" style="240" customWidth="1"/>
    <col min="10503" max="10503" width="19.5703125" style="240" customWidth="1"/>
    <col min="10504" max="10504" width="9.140625" style="240"/>
    <col min="10505" max="10505" width="17.85546875" style="240" customWidth="1"/>
    <col min="10506" max="10752" width="9.140625" style="240"/>
    <col min="10753" max="10753" width="7" style="240" customWidth="1"/>
    <col min="10754" max="10754" width="45.28515625" style="240" customWidth="1"/>
    <col min="10755" max="10755" width="17.85546875" style="240" customWidth="1"/>
    <col min="10756" max="10756" width="12" style="240" customWidth="1"/>
    <col min="10757" max="10757" width="14.7109375" style="240" bestFit="1" customWidth="1"/>
    <col min="10758" max="10758" width="19" style="240" customWidth="1"/>
    <col min="10759" max="10759" width="19.5703125" style="240" customWidth="1"/>
    <col min="10760" max="10760" width="9.140625" style="240"/>
    <col min="10761" max="10761" width="17.85546875" style="240" customWidth="1"/>
    <col min="10762" max="11008" width="9.140625" style="240"/>
    <col min="11009" max="11009" width="7" style="240" customWidth="1"/>
    <col min="11010" max="11010" width="45.28515625" style="240" customWidth="1"/>
    <col min="11011" max="11011" width="17.85546875" style="240" customWidth="1"/>
    <col min="11012" max="11012" width="12" style="240" customWidth="1"/>
    <col min="11013" max="11013" width="14.7109375" style="240" bestFit="1" customWidth="1"/>
    <col min="11014" max="11014" width="19" style="240" customWidth="1"/>
    <col min="11015" max="11015" width="19.5703125" style="240" customWidth="1"/>
    <col min="11016" max="11016" width="9.140625" style="240"/>
    <col min="11017" max="11017" width="17.85546875" style="240" customWidth="1"/>
    <col min="11018" max="11264" width="9.140625" style="240"/>
    <col min="11265" max="11265" width="7" style="240" customWidth="1"/>
    <col min="11266" max="11266" width="45.28515625" style="240" customWidth="1"/>
    <col min="11267" max="11267" width="17.85546875" style="240" customWidth="1"/>
    <col min="11268" max="11268" width="12" style="240" customWidth="1"/>
    <col min="11269" max="11269" width="14.7109375" style="240" bestFit="1" customWidth="1"/>
    <col min="11270" max="11270" width="19" style="240" customWidth="1"/>
    <col min="11271" max="11271" width="19.5703125" style="240" customWidth="1"/>
    <col min="11272" max="11272" width="9.140625" style="240"/>
    <col min="11273" max="11273" width="17.85546875" style="240" customWidth="1"/>
    <col min="11274" max="11520" width="9.140625" style="240"/>
    <col min="11521" max="11521" width="7" style="240" customWidth="1"/>
    <col min="11522" max="11522" width="45.28515625" style="240" customWidth="1"/>
    <col min="11523" max="11523" width="17.85546875" style="240" customWidth="1"/>
    <col min="11524" max="11524" width="12" style="240" customWidth="1"/>
    <col min="11525" max="11525" width="14.7109375" style="240" bestFit="1" customWidth="1"/>
    <col min="11526" max="11526" width="19" style="240" customWidth="1"/>
    <col min="11527" max="11527" width="19.5703125" style="240" customWidth="1"/>
    <col min="11528" max="11528" width="9.140625" style="240"/>
    <col min="11529" max="11529" width="17.85546875" style="240" customWidth="1"/>
    <col min="11530" max="11776" width="9.140625" style="240"/>
    <col min="11777" max="11777" width="7" style="240" customWidth="1"/>
    <col min="11778" max="11778" width="45.28515625" style="240" customWidth="1"/>
    <col min="11779" max="11779" width="17.85546875" style="240" customWidth="1"/>
    <col min="11780" max="11780" width="12" style="240" customWidth="1"/>
    <col min="11781" max="11781" width="14.7109375" style="240" bestFit="1" customWidth="1"/>
    <col min="11782" max="11782" width="19" style="240" customWidth="1"/>
    <col min="11783" max="11783" width="19.5703125" style="240" customWidth="1"/>
    <col min="11784" max="11784" width="9.140625" style="240"/>
    <col min="11785" max="11785" width="17.85546875" style="240" customWidth="1"/>
    <col min="11786" max="12032" width="9.140625" style="240"/>
    <col min="12033" max="12033" width="7" style="240" customWidth="1"/>
    <col min="12034" max="12034" width="45.28515625" style="240" customWidth="1"/>
    <col min="12035" max="12035" width="17.85546875" style="240" customWidth="1"/>
    <col min="12036" max="12036" width="12" style="240" customWidth="1"/>
    <col min="12037" max="12037" width="14.7109375" style="240" bestFit="1" customWidth="1"/>
    <col min="12038" max="12038" width="19" style="240" customWidth="1"/>
    <col min="12039" max="12039" width="19.5703125" style="240" customWidth="1"/>
    <col min="12040" max="12040" width="9.140625" style="240"/>
    <col min="12041" max="12041" width="17.85546875" style="240" customWidth="1"/>
    <col min="12042" max="12288" width="9.140625" style="240"/>
    <col min="12289" max="12289" width="7" style="240" customWidth="1"/>
    <col min="12290" max="12290" width="45.28515625" style="240" customWidth="1"/>
    <col min="12291" max="12291" width="17.85546875" style="240" customWidth="1"/>
    <col min="12292" max="12292" width="12" style="240" customWidth="1"/>
    <col min="12293" max="12293" width="14.7109375" style="240" bestFit="1" customWidth="1"/>
    <col min="12294" max="12294" width="19" style="240" customWidth="1"/>
    <col min="12295" max="12295" width="19.5703125" style="240" customWidth="1"/>
    <col min="12296" max="12296" width="9.140625" style="240"/>
    <col min="12297" max="12297" width="17.85546875" style="240" customWidth="1"/>
    <col min="12298" max="12544" width="9.140625" style="240"/>
    <col min="12545" max="12545" width="7" style="240" customWidth="1"/>
    <col min="12546" max="12546" width="45.28515625" style="240" customWidth="1"/>
    <col min="12547" max="12547" width="17.85546875" style="240" customWidth="1"/>
    <col min="12548" max="12548" width="12" style="240" customWidth="1"/>
    <col min="12549" max="12549" width="14.7109375" style="240" bestFit="1" customWidth="1"/>
    <col min="12550" max="12550" width="19" style="240" customWidth="1"/>
    <col min="12551" max="12551" width="19.5703125" style="240" customWidth="1"/>
    <col min="12552" max="12552" width="9.140625" style="240"/>
    <col min="12553" max="12553" width="17.85546875" style="240" customWidth="1"/>
    <col min="12554" max="12800" width="9.140625" style="240"/>
    <col min="12801" max="12801" width="7" style="240" customWidth="1"/>
    <col min="12802" max="12802" width="45.28515625" style="240" customWidth="1"/>
    <col min="12803" max="12803" width="17.85546875" style="240" customWidth="1"/>
    <col min="12804" max="12804" width="12" style="240" customWidth="1"/>
    <col min="12805" max="12805" width="14.7109375" style="240" bestFit="1" customWidth="1"/>
    <col min="12806" max="12806" width="19" style="240" customWidth="1"/>
    <col min="12807" max="12807" width="19.5703125" style="240" customWidth="1"/>
    <col min="12808" max="12808" width="9.140625" style="240"/>
    <col min="12809" max="12809" width="17.85546875" style="240" customWidth="1"/>
    <col min="12810" max="13056" width="9.140625" style="240"/>
    <col min="13057" max="13057" width="7" style="240" customWidth="1"/>
    <col min="13058" max="13058" width="45.28515625" style="240" customWidth="1"/>
    <col min="13059" max="13059" width="17.85546875" style="240" customWidth="1"/>
    <col min="13060" max="13060" width="12" style="240" customWidth="1"/>
    <col min="13061" max="13061" width="14.7109375" style="240" bestFit="1" customWidth="1"/>
    <col min="13062" max="13062" width="19" style="240" customWidth="1"/>
    <col min="13063" max="13063" width="19.5703125" style="240" customWidth="1"/>
    <col min="13064" max="13064" width="9.140625" style="240"/>
    <col min="13065" max="13065" width="17.85546875" style="240" customWidth="1"/>
    <col min="13066" max="13312" width="9.140625" style="240"/>
    <col min="13313" max="13313" width="7" style="240" customWidth="1"/>
    <col min="13314" max="13314" width="45.28515625" style="240" customWidth="1"/>
    <col min="13315" max="13315" width="17.85546875" style="240" customWidth="1"/>
    <col min="13316" max="13316" width="12" style="240" customWidth="1"/>
    <col min="13317" max="13317" width="14.7109375" style="240" bestFit="1" customWidth="1"/>
    <col min="13318" max="13318" width="19" style="240" customWidth="1"/>
    <col min="13319" max="13319" width="19.5703125" style="240" customWidth="1"/>
    <col min="13320" max="13320" width="9.140625" style="240"/>
    <col min="13321" max="13321" width="17.85546875" style="240" customWidth="1"/>
    <col min="13322" max="13568" width="9.140625" style="240"/>
    <col min="13569" max="13569" width="7" style="240" customWidth="1"/>
    <col min="13570" max="13570" width="45.28515625" style="240" customWidth="1"/>
    <col min="13571" max="13571" width="17.85546875" style="240" customWidth="1"/>
    <col min="13572" max="13572" width="12" style="240" customWidth="1"/>
    <col min="13573" max="13573" width="14.7109375" style="240" bestFit="1" customWidth="1"/>
    <col min="13574" max="13574" width="19" style="240" customWidth="1"/>
    <col min="13575" max="13575" width="19.5703125" style="240" customWidth="1"/>
    <col min="13576" max="13576" width="9.140625" style="240"/>
    <col min="13577" max="13577" width="17.85546875" style="240" customWidth="1"/>
    <col min="13578" max="13824" width="9.140625" style="240"/>
    <col min="13825" max="13825" width="7" style="240" customWidth="1"/>
    <col min="13826" max="13826" width="45.28515625" style="240" customWidth="1"/>
    <col min="13827" max="13827" width="17.85546875" style="240" customWidth="1"/>
    <col min="13828" max="13828" width="12" style="240" customWidth="1"/>
    <col min="13829" max="13829" width="14.7109375" style="240" bestFit="1" customWidth="1"/>
    <col min="13830" max="13830" width="19" style="240" customWidth="1"/>
    <col min="13831" max="13831" width="19.5703125" style="240" customWidth="1"/>
    <col min="13832" max="13832" width="9.140625" style="240"/>
    <col min="13833" max="13833" width="17.85546875" style="240" customWidth="1"/>
    <col min="13834" max="14080" width="9.140625" style="240"/>
    <col min="14081" max="14081" width="7" style="240" customWidth="1"/>
    <col min="14082" max="14082" width="45.28515625" style="240" customWidth="1"/>
    <col min="14083" max="14083" width="17.85546875" style="240" customWidth="1"/>
    <col min="14084" max="14084" width="12" style="240" customWidth="1"/>
    <col min="14085" max="14085" width="14.7109375" style="240" bestFit="1" customWidth="1"/>
    <col min="14086" max="14086" width="19" style="240" customWidth="1"/>
    <col min="14087" max="14087" width="19.5703125" style="240" customWidth="1"/>
    <col min="14088" max="14088" width="9.140625" style="240"/>
    <col min="14089" max="14089" width="17.85546875" style="240" customWidth="1"/>
    <col min="14090" max="14336" width="9.140625" style="240"/>
    <col min="14337" max="14337" width="7" style="240" customWidth="1"/>
    <col min="14338" max="14338" width="45.28515625" style="240" customWidth="1"/>
    <col min="14339" max="14339" width="17.85546875" style="240" customWidth="1"/>
    <col min="14340" max="14340" width="12" style="240" customWidth="1"/>
    <col min="14341" max="14341" width="14.7109375" style="240" bestFit="1" customWidth="1"/>
    <col min="14342" max="14342" width="19" style="240" customWidth="1"/>
    <col min="14343" max="14343" width="19.5703125" style="240" customWidth="1"/>
    <col min="14344" max="14344" width="9.140625" style="240"/>
    <col min="14345" max="14345" width="17.85546875" style="240" customWidth="1"/>
    <col min="14346" max="14592" width="9.140625" style="240"/>
    <col min="14593" max="14593" width="7" style="240" customWidth="1"/>
    <col min="14594" max="14594" width="45.28515625" style="240" customWidth="1"/>
    <col min="14595" max="14595" width="17.85546875" style="240" customWidth="1"/>
    <col min="14596" max="14596" width="12" style="240" customWidth="1"/>
    <col min="14597" max="14597" width="14.7109375" style="240" bestFit="1" customWidth="1"/>
    <col min="14598" max="14598" width="19" style="240" customWidth="1"/>
    <col min="14599" max="14599" width="19.5703125" style="240" customWidth="1"/>
    <col min="14600" max="14600" width="9.140625" style="240"/>
    <col min="14601" max="14601" width="17.85546875" style="240" customWidth="1"/>
    <col min="14602" max="14848" width="9.140625" style="240"/>
    <col min="14849" max="14849" width="7" style="240" customWidth="1"/>
    <col min="14850" max="14850" width="45.28515625" style="240" customWidth="1"/>
    <col min="14851" max="14851" width="17.85546875" style="240" customWidth="1"/>
    <col min="14852" max="14852" width="12" style="240" customWidth="1"/>
    <col min="14853" max="14853" width="14.7109375" style="240" bestFit="1" customWidth="1"/>
    <col min="14854" max="14854" width="19" style="240" customWidth="1"/>
    <col min="14855" max="14855" width="19.5703125" style="240" customWidth="1"/>
    <col min="14856" max="14856" width="9.140625" style="240"/>
    <col min="14857" max="14857" width="17.85546875" style="240" customWidth="1"/>
    <col min="14858" max="15104" width="9.140625" style="240"/>
    <col min="15105" max="15105" width="7" style="240" customWidth="1"/>
    <col min="15106" max="15106" width="45.28515625" style="240" customWidth="1"/>
    <col min="15107" max="15107" width="17.85546875" style="240" customWidth="1"/>
    <col min="15108" max="15108" width="12" style="240" customWidth="1"/>
    <col min="15109" max="15109" width="14.7109375" style="240" bestFit="1" customWidth="1"/>
    <col min="15110" max="15110" width="19" style="240" customWidth="1"/>
    <col min="15111" max="15111" width="19.5703125" style="240" customWidth="1"/>
    <col min="15112" max="15112" width="9.140625" style="240"/>
    <col min="15113" max="15113" width="17.85546875" style="240" customWidth="1"/>
    <col min="15114" max="15360" width="9.140625" style="240"/>
    <col min="15361" max="15361" width="7" style="240" customWidth="1"/>
    <col min="15362" max="15362" width="45.28515625" style="240" customWidth="1"/>
    <col min="15363" max="15363" width="17.85546875" style="240" customWidth="1"/>
    <col min="15364" max="15364" width="12" style="240" customWidth="1"/>
    <col min="15365" max="15365" width="14.7109375" style="240" bestFit="1" customWidth="1"/>
    <col min="15366" max="15366" width="19" style="240" customWidth="1"/>
    <col min="15367" max="15367" width="19.5703125" style="240" customWidth="1"/>
    <col min="15368" max="15368" width="9.140625" style="240"/>
    <col min="15369" max="15369" width="17.85546875" style="240" customWidth="1"/>
    <col min="15370" max="15616" width="9.140625" style="240"/>
    <col min="15617" max="15617" width="7" style="240" customWidth="1"/>
    <col min="15618" max="15618" width="45.28515625" style="240" customWidth="1"/>
    <col min="15619" max="15619" width="17.85546875" style="240" customWidth="1"/>
    <col min="15620" max="15620" width="12" style="240" customWidth="1"/>
    <col min="15621" max="15621" width="14.7109375" style="240" bestFit="1" customWidth="1"/>
    <col min="15622" max="15622" width="19" style="240" customWidth="1"/>
    <col min="15623" max="15623" width="19.5703125" style="240" customWidth="1"/>
    <col min="15624" max="15624" width="9.140625" style="240"/>
    <col min="15625" max="15625" width="17.85546875" style="240" customWidth="1"/>
    <col min="15626" max="15872" width="9.140625" style="240"/>
    <col min="15873" max="15873" width="7" style="240" customWidth="1"/>
    <col min="15874" max="15874" width="45.28515625" style="240" customWidth="1"/>
    <col min="15875" max="15875" width="17.85546875" style="240" customWidth="1"/>
    <col min="15876" max="15876" width="12" style="240" customWidth="1"/>
    <col min="15877" max="15877" width="14.7109375" style="240" bestFit="1" customWidth="1"/>
    <col min="15878" max="15878" width="19" style="240" customWidth="1"/>
    <col min="15879" max="15879" width="19.5703125" style="240" customWidth="1"/>
    <col min="15880" max="15880" width="9.140625" style="240"/>
    <col min="15881" max="15881" width="17.85546875" style="240" customWidth="1"/>
    <col min="15882" max="16128" width="9.140625" style="240"/>
    <col min="16129" max="16129" width="7" style="240" customWidth="1"/>
    <col min="16130" max="16130" width="45.28515625" style="240" customWidth="1"/>
    <col min="16131" max="16131" width="17.85546875" style="240" customWidth="1"/>
    <col min="16132" max="16132" width="12" style="240" customWidth="1"/>
    <col min="16133" max="16133" width="14.7109375" style="240" bestFit="1" customWidth="1"/>
    <col min="16134" max="16134" width="19" style="240" customWidth="1"/>
    <col min="16135" max="16135" width="19.5703125" style="240" customWidth="1"/>
    <col min="16136" max="16136" width="9.140625" style="240"/>
    <col min="16137" max="16137" width="17.85546875" style="240" customWidth="1"/>
    <col min="16138" max="16384" width="9.140625" style="240"/>
  </cols>
  <sheetData>
    <row r="1" spans="1:8" ht="17.25" customHeight="1">
      <c r="A1" s="239"/>
    </row>
    <row r="2" spans="1:8" ht="17.25" customHeight="1">
      <c r="A2" s="239"/>
    </row>
    <row r="3" spans="1:8" ht="17.25" customHeight="1">
      <c r="A3" s="239"/>
    </row>
    <row r="4" spans="1:8" ht="23.25" customHeight="1">
      <c r="A4" s="239"/>
      <c r="B4" s="242" t="s">
        <v>31</v>
      </c>
    </row>
    <row r="5" spans="1:8" ht="15" customHeight="1" outlineLevel="1" collapsed="1">
      <c r="B5" s="519"/>
      <c r="G5" s="243"/>
    </row>
    <row r="6" spans="1:8" s="246" customFormat="1" ht="15" customHeight="1">
      <c r="A6" s="1621" t="s">
        <v>32</v>
      </c>
      <c r="B6" s="1623" t="s">
        <v>33</v>
      </c>
      <c r="C6" s="1621" t="s">
        <v>34</v>
      </c>
      <c r="D6" s="1614" t="s">
        <v>35</v>
      </c>
      <c r="E6" s="1616" t="s">
        <v>36</v>
      </c>
      <c r="F6" s="1617"/>
      <c r="G6" s="244" t="s">
        <v>37</v>
      </c>
      <c r="H6" s="245"/>
    </row>
    <row r="7" spans="1:8" s="246" customFormat="1" ht="34.5" customHeight="1">
      <c r="A7" s="1622"/>
      <c r="B7" s="1624"/>
      <c r="C7" s="1622"/>
      <c r="D7" s="1615"/>
      <c r="E7" s="247" t="s">
        <v>38</v>
      </c>
      <c r="F7" s="248" t="s">
        <v>37</v>
      </c>
      <c r="G7" s="249" t="s">
        <v>39</v>
      </c>
    </row>
    <row r="8" spans="1:8" s="246" customFormat="1" ht="15" customHeight="1">
      <c r="A8" s="250">
        <v>1</v>
      </c>
      <c r="B8" s="520" t="s">
        <v>40</v>
      </c>
      <c r="C8" s="250"/>
      <c r="D8" s="251"/>
      <c r="E8" s="250"/>
      <c r="F8" s="252"/>
      <c r="G8" s="251"/>
    </row>
    <row r="9" spans="1:8" ht="19.5" customHeight="1">
      <c r="A9" s="253"/>
      <c r="B9" s="521" t="s">
        <v>41</v>
      </c>
      <c r="C9" s="253"/>
      <c r="D9" s="254"/>
      <c r="E9" s="255"/>
      <c r="F9" s="256"/>
      <c r="G9" s="254"/>
    </row>
    <row r="10" spans="1:8">
      <c r="A10" s="257">
        <v>1.1000000000000001</v>
      </c>
      <c r="B10" s="522" t="s">
        <v>42</v>
      </c>
      <c r="C10" s="257"/>
      <c r="D10" s="258"/>
      <c r="E10" s="259"/>
      <c r="F10" s="260"/>
      <c r="G10" s="259"/>
    </row>
    <row r="11" spans="1:8">
      <c r="A11" s="257"/>
      <c r="B11" s="523" t="s">
        <v>43</v>
      </c>
      <c r="C11" s="257" t="s">
        <v>44</v>
      </c>
      <c r="D11" s="258"/>
      <c r="E11" s="259"/>
      <c r="F11" s="260"/>
      <c r="G11" s="259"/>
    </row>
    <row r="12" spans="1:8">
      <c r="A12" s="257"/>
      <c r="B12" s="523" t="s">
        <v>45</v>
      </c>
      <c r="C12" s="257" t="s">
        <v>44</v>
      </c>
      <c r="D12" s="258"/>
      <c r="E12" s="259"/>
      <c r="F12" s="260"/>
      <c r="G12" s="259"/>
    </row>
    <row r="13" spans="1:8">
      <c r="A13" s="257">
        <v>1.2</v>
      </c>
      <c r="B13" s="522" t="s">
        <v>46</v>
      </c>
      <c r="C13" s="257"/>
      <c r="D13" s="258"/>
      <c r="E13" s="259"/>
      <c r="F13" s="260"/>
      <c r="G13" s="259"/>
    </row>
    <row r="14" spans="1:8">
      <c r="A14" s="257"/>
      <c r="B14" s="523" t="s">
        <v>47</v>
      </c>
      <c r="C14" s="257" t="s">
        <v>44</v>
      </c>
      <c r="D14" s="258"/>
      <c r="E14" s="259"/>
      <c r="F14" s="260"/>
      <c r="G14" s="259"/>
    </row>
    <row r="15" spans="1:8">
      <c r="A15" s="261"/>
      <c r="B15" s="524"/>
      <c r="C15" s="261"/>
      <c r="D15" s="262"/>
      <c r="E15" s="263"/>
      <c r="F15" s="264"/>
      <c r="G15" s="263"/>
    </row>
    <row r="16" spans="1:8">
      <c r="A16" s="265"/>
      <c r="B16" s="525" t="s">
        <v>48</v>
      </c>
      <c r="C16" s="265"/>
      <c r="D16" s="266"/>
      <c r="E16" s="267"/>
      <c r="F16" s="268"/>
      <c r="G16" s="269"/>
    </row>
    <row r="17" spans="1:7">
      <c r="A17" s="270">
        <v>2</v>
      </c>
      <c r="B17" s="520" t="s">
        <v>49</v>
      </c>
      <c r="C17" s="270"/>
      <c r="D17" s="271"/>
      <c r="E17" s="272"/>
      <c r="F17" s="273"/>
      <c r="G17" s="272"/>
    </row>
    <row r="18" spans="1:7">
      <c r="A18" s="255">
        <v>2.1</v>
      </c>
      <c r="B18" s="526" t="s">
        <v>50</v>
      </c>
      <c r="C18" s="257" t="s">
        <v>51</v>
      </c>
      <c r="D18" s="254"/>
      <c r="E18" s="272"/>
      <c r="F18" s="260"/>
      <c r="G18" s="259"/>
    </row>
    <row r="19" spans="1:7">
      <c r="A19" s="255">
        <v>2.2000000000000002</v>
      </c>
      <c r="B19" s="526" t="s">
        <v>52</v>
      </c>
      <c r="C19" s="257" t="s">
        <v>51</v>
      </c>
      <c r="D19" s="254"/>
      <c r="E19" s="272"/>
      <c r="F19" s="260"/>
      <c r="G19" s="259"/>
    </row>
    <row r="20" spans="1:7">
      <c r="A20" s="255"/>
      <c r="B20" s="526"/>
      <c r="C20" s="257"/>
      <c r="D20" s="254"/>
      <c r="E20" s="272"/>
      <c r="F20" s="273"/>
      <c r="G20" s="272"/>
    </row>
    <row r="21" spans="1:7">
      <c r="A21" s="265"/>
      <c r="B21" s="525" t="s">
        <v>53</v>
      </c>
      <c r="C21" s="265"/>
      <c r="D21" s="266"/>
      <c r="E21" s="267"/>
      <c r="F21" s="268"/>
      <c r="G21" s="269"/>
    </row>
    <row r="22" spans="1:7">
      <c r="A22" s="275">
        <v>3</v>
      </c>
      <c r="B22" s="527" t="s">
        <v>54</v>
      </c>
      <c r="C22" s="276"/>
      <c r="D22" s="277"/>
      <c r="E22" s="278"/>
      <c r="F22" s="279"/>
      <c r="G22" s="277"/>
    </row>
    <row r="23" spans="1:7">
      <c r="A23" s="270"/>
      <c r="B23" s="519" t="s">
        <v>55</v>
      </c>
      <c r="C23" s="270" t="s">
        <v>44</v>
      </c>
      <c r="D23" s="258"/>
      <c r="E23" s="272"/>
      <c r="F23" s="273"/>
      <c r="G23" s="272"/>
    </row>
    <row r="24" spans="1:7">
      <c r="A24" s="257">
        <v>3.1</v>
      </c>
      <c r="B24" s="522" t="s">
        <v>56</v>
      </c>
      <c r="C24" s="257"/>
      <c r="D24" s="280"/>
      <c r="E24" s="281"/>
      <c r="F24" s="282"/>
      <c r="G24" s="281"/>
    </row>
    <row r="25" spans="1:7">
      <c r="A25" s="257"/>
      <c r="B25" s="526" t="s">
        <v>57</v>
      </c>
      <c r="C25" s="257" t="s">
        <v>58</v>
      </c>
      <c r="D25" s="258"/>
      <c r="E25" s="259"/>
      <c r="F25" s="260"/>
      <c r="G25" s="259"/>
    </row>
    <row r="26" spans="1:7">
      <c r="A26" s="257"/>
      <c r="B26" s="526" t="s">
        <v>59</v>
      </c>
      <c r="C26" s="257" t="s">
        <v>58</v>
      </c>
      <c r="D26" s="258"/>
      <c r="E26" s="259"/>
      <c r="F26" s="260"/>
      <c r="G26" s="259"/>
    </row>
    <row r="27" spans="1:7">
      <c r="A27" s="257"/>
      <c r="B27" s="526" t="s">
        <v>60</v>
      </c>
      <c r="C27" s="257" t="s">
        <v>58</v>
      </c>
      <c r="D27" s="258"/>
      <c r="E27" s="259"/>
      <c r="F27" s="260"/>
      <c r="G27" s="259"/>
    </row>
    <row r="28" spans="1:7">
      <c r="A28" s="257"/>
      <c r="B28" s="526" t="s">
        <v>61</v>
      </c>
      <c r="C28" s="257" t="s">
        <v>58</v>
      </c>
      <c r="D28" s="258"/>
      <c r="E28" s="259"/>
      <c r="F28" s="260"/>
      <c r="G28" s="259"/>
    </row>
    <row r="29" spans="1:7">
      <c r="A29" s="257"/>
      <c r="B29" s="526" t="s">
        <v>62</v>
      </c>
      <c r="C29" s="257" t="s">
        <v>58</v>
      </c>
      <c r="D29" s="258"/>
      <c r="E29" s="259"/>
      <c r="F29" s="260"/>
      <c r="G29" s="259"/>
    </row>
    <row r="30" spans="1:7">
      <c r="A30" s="257"/>
      <c r="B30" s="526" t="s">
        <v>63</v>
      </c>
      <c r="C30" s="257" t="s">
        <v>58</v>
      </c>
      <c r="D30" s="258"/>
      <c r="E30" s="259"/>
      <c r="F30" s="260"/>
      <c r="G30" s="259"/>
    </row>
    <row r="31" spans="1:7">
      <c r="A31" s="257">
        <v>3.2</v>
      </c>
      <c r="B31" s="522" t="s">
        <v>64</v>
      </c>
      <c r="C31" s="257"/>
      <c r="D31" s="258"/>
      <c r="E31" s="259"/>
      <c r="F31" s="283"/>
      <c r="G31" s="259"/>
    </row>
    <row r="32" spans="1:7">
      <c r="A32" s="257"/>
      <c r="B32" s="526" t="s">
        <v>65</v>
      </c>
      <c r="C32" s="257" t="s">
        <v>58</v>
      </c>
      <c r="D32" s="258"/>
      <c r="E32" s="259"/>
      <c r="F32" s="260"/>
      <c r="G32" s="259"/>
    </row>
    <row r="33" spans="1:7">
      <c r="A33" s="257"/>
      <c r="B33" s="526" t="s">
        <v>66</v>
      </c>
      <c r="C33" s="257" t="s">
        <v>58</v>
      </c>
      <c r="D33" s="258"/>
      <c r="E33" s="259"/>
      <c r="F33" s="260"/>
      <c r="G33" s="259"/>
    </row>
    <row r="34" spans="1:7">
      <c r="A34" s="257"/>
      <c r="B34" s="526" t="s">
        <v>67</v>
      </c>
      <c r="C34" s="257" t="s">
        <v>58</v>
      </c>
      <c r="D34" s="258"/>
      <c r="E34" s="259"/>
      <c r="F34" s="260"/>
      <c r="G34" s="259"/>
    </row>
    <row r="35" spans="1:7">
      <c r="A35" s="257">
        <v>3.3</v>
      </c>
      <c r="B35" s="522" t="s">
        <v>68</v>
      </c>
      <c r="C35" s="257"/>
      <c r="D35" s="258"/>
      <c r="E35" s="259"/>
      <c r="F35" s="283"/>
      <c r="G35" s="259"/>
    </row>
    <row r="36" spans="1:7">
      <c r="A36" s="257"/>
      <c r="B36" s="526" t="s">
        <v>69</v>
      </c>
      <c r="C36" s="257" t="s">
        <v>58</v>
      </c>
      <c r="D36" s="258"/>
      <c r="E36" s="259"/>
      <c r="F36" s="260"/>
      <c r="G36" s="259"/>
    </row>
    <row r="37" spans="1:7">
      <c r="A37" s="257">
        <v>3.4</v>
      </c>
      <c r="B37" s="522" t="s">
        <v>70</v>
      </c>
      <c r="C37" s="257"/>
      <c r="D37" s="258"/>
      <c r="E37" s="259"/>
      <c r="F37" s="260"/>
      <c r="G37" s="259"/>
    </row>
    <row r="38" spans="1:7" outlineLevel="1">
      <c r="A38" s="257"/>
      <c r="B38" s="526" t="s">
        <v>71</v>
      </c>
      <c r="C38" s="257" t="s">
        <v>58</v>
      </c>
      <c r="D38" s="258"/>
      <c r="E38" s="259"/>
      <c r="F38" s="260"/>
      <c r="G38" s="259"/>
    </row>
    <row r="39" spans="1:7">
      <c r="A39" s="257"/>
      <c r="B39" s="526" t="s">
        <v>72</v>
      </c>
      <c r="C39" s="257" t="s">
        <v>58</v>
      </c>
      <c r="D39" s="258"/>
      <c r="E39" s="259"/>
      <c r="F39" s="260"/>
      <c r="G39" s="259"/>
    </row>
    <row r="40" spans="1:7" hidden="1" outlineLevel="1">
      <c r="A40" s="257"/>
      <c r="B40" s="526" t="s">
        <v>73</v>
      </c>
      <c r="C40" s="257" t="s">
        <v>58</v>
      </c>
      <c r="D40" s="258"/>
      <c r="E40" s="259"/>
      <c r="F40" s="260"/>
      <c r="G40" s="259"/>
    </row>
    <row r="41" spans="1:7" hidden="1" outlineLevel="1">
      <c r="A41" s="257"/>
      <c r="B41" s="526" t="s">
        <v>74</v>
      </c>
      <c r="C41" s="257" t="s">
        <v>58</v>
      </c>
      <c r="D41" s="258"/>
      <c r="E41" s="259"/>
      <c r="F41" s="260"/>
      <c r="G41" s="259"/>
    </row>
    <row r="42" spans="1:7" hidden="1" outlineLevel="1">
      <c r="A42" s="257"/>
      <c r="B42" s="526" t="s">
        <v>75</v>
      </c>
      <c r="C42" s="257" t="s">
        <v>58</v>
      </c>
      <c r="D42" s="258"/>
      <c r="E42" s="259"/>
      <c r="F42" s="260"/>
      <c r="G42" s="259"/>
    </row>
    <row r="43" spans="1:7" hidden="1" outlineLevel="1">
      <c r="A43" s="257"/>
      <c r="B43" s="526" t="s">
        <v>76</v>
      </c>
      <c r="C43" s="257" t="s">
        <v>58</v>
      </c>
      <c r="D43" s="258"/>
      <c r="E43" s="259"/>
      <c r="F43" s="260"/>
      <c r="G43" s="259"/>
    </row>
    <row r="44" spans="1:7" hidden="1" outlineLevel="1">
      <c r="A44" s="257"/>
      <c r="B44" s="526" t="s">
        <v>77</v>
      </c>
      <c r="C44" s="257" t="s">
        <v>58</v>
      </c>
      <c r="D44" s="258"/>
      <c r="E44" s="259"/>
      <c r="F44" s="260"/>
      <c r="G44" s="259"/>
    </row>
    <row r="45" spans="1:7" collapsed="1">
      <c r="A45" s="284"/>
      <c r="B45" s="528"/>
      <c r="C45" s="284"/>
      <c r="D45" s="285"/>
      <c r="E45" s="286"/>
      <c r="F45" s="287"/>
      <c r="G45" s="286"/>
    </row>
    <row r="46" spans="1:7">
      <c r="A46" s="265"/>
      <c r="B46" s="525" t="s">
        <v>78</v>
      </c>
      <c r="C46" s="265"/>
      <c r="D46" s="266"/>
      <c r="E46" s="267"/>
      <c r="F46" s="268"/>
      <c r="G46" s="269"/>
    </row>
    <row r="47" spans="1:7">
      <c r="A47" s="275">
        <v>4</v>
      </c>
      <c r="B47" s="527" t="s">
        <v>79</v>
      </c>
      <c r="C47" s="276"/>
      <c r="D47" s="277"/>
      <c r="E47" s="278"/>
      <c r="F47" s="279"/>
      <c r="G47" s="277"/>
    </row>
    <row r="48" spans="1:7">
      <c r="A48" s="270"/>
      <c r="B48" s="519"/>
      <c r="C48" s="270" t="s">
        <v>44</v>
      </c>
      <c r="D48" s="271"/>
      <c r="E48" s="272"/>
      <c r="F48" s="273"/>
      <c r="G48" s="272"/>
    </row>
    <row r="49" spans="1:7">
      <c r="A49" s="257">
        <v>4.0999999999999996</v>
      </c>
      <c r="B49" s="522" t="s">
        <v>80</v>
      </c>
      <c r="C49" s="257"/>
      <c r="D49" s="258"/>
      <c r="E49" s="259"/>
      <c r="F49" s="260"/>
      <c r="G49" s="259"/>
    </row>
    <row r="50" spans="1:7">
      <c r="A50" s="257"/>
      <c r="B50" s="526" t="s">
        <v>81</v>
      </c>
      <c r="C50" s="257" t="s">
        <v>16</v>
      </c>
      <c r="D50" s="258"/>
      <c r="E50" s="259"/>
      <c r="F50" s="260"/>
      <c r="G50" s="259"/>
    </row>
    <row r="51" spans="1:7">
      <c r="A51" s="257"/>
      <c r="B51" s="526" t="s">
        <v>82</v>
      </c>
      <c r="C51" s="257" t="s">
        <v>44</v>
      </c>
      <c r="D51" s="258"/>
      <c r="E51" s="259"/>
      <c r="F51" s="260"/>
      <c r="G51" s="259"/>
    </row>
    <row r="52" spans="1:7">
      <c r="A52" s="257"/>
      <c r="B52" s="526" t="s">
        <v>83</v>
      </c>
      <c r="C52" s="257" t="s">
        <v>44</v>
      </c>
      <c r="D52" s="258"/>
      <c r="E52" s="259"/>
      <c r="F52" s="260"/>
      <c r="G52" s="259"/>
    </row>
    <row r="53" spans="1:7">
      <c r="A53" s="257">
        <v>4.4000000000000004</v>
      </c>
      <c r="B53" s="522" t="s">
        <v>84</v>
      </c>
      <c r="C53" s="257"/>
      <c r="D53" s="258"/>
      <c r="E53" s="259"/>
      <c r="F53" s="283"/>
      <c r="G53" s="259"/>
    </row>
    <row r="54" spans="1:7">
      <c r="A54" s="257"/>
      <c r="B54" s="526" t="s">
        <v>85</v>
      </c>
      <c r="C54" s="257" t="s">
        <v>16</v>
      </c>
      <c r="D54" s="258"/>
      <c r="E54" s="259"/>
      <c r="F54" s="260"/>
      <c r="G54" s="259"/>
    </row>
    <row r="55" spans="1:7">
      <c r="A55" s="257"/>
      <c r="B55" s="526" t="s">
        <v>86</v>
      </c>
      <c r="C55" s="257" t="s">
        <v>87</v>
      </c>
      <c r="D55" s="258"/>
      <c r="E55" s="259"/>
      <c r="F55" s="260"/>
      <c r="G55" s="259"/>
    </row>
    <row r="56" spans="1:7" ht="42">
      <c r="A56" s="257"/>
      <c r="B56" s="528" t="s">
        <v>88</v>
      </c>
      <c r="C56" s="257" t="s">
        <v>16</v>
      </c>
      <c r="D56" s="258"/>
      <c r="E56" s="259"/>
      <c r="F56" s="260"/>
      <c r="G56" s="259"/>
    </row>
    <row r="57" spans="1:7">
      <c r="A57" s="257">
        <v>4.5</v>
      </c>
      <c r="B57" s="522" t="s">
        <v>89</v>
      </c>
      <c r="C57" s="257"/>
      <c r="D57" s="258"/>
      <c r="E57" s="259"/>
      <c r="F57" s="283"/>
      <c r="G57" s="259"/>
    </row>
    <row r="58" spans="1:7">
      <c r="A58" s="257"/>
      <c r="B58" s="526" t="s">
        <v>90</v>
      </c>
      <c r="C58" s="257" t="s">
        <v>58</v>
      </c>
      <c r="D58" s="258"/>
      <c r="E58" s="259"/>
      <c r="F58" s="260"/>
      <c r="G58" s="259"/>
    </row>
    <row r="59" spans="1:7">
      <c r="A59" s="257"/>
      <c r="B59" s="529"/>
      <c r="C59" s="257"/>
      <c r="D59" s="258"/>
      <c r="E59" s="259"/>
      <c r="F59" s="260"/>
      <c r="G59" s="259"/>
    </row>
    <row r="60" spans="1:7">
      <c r="A60" s="265"/>
      <c r="B60" s="525" t="s">
        <v>91</v>
      </c>
      <c r="C60" s="265"/>
      <c r="D60" s="266"/>
      <c r="E60" s="267"/>
      <c r="F60" s="268"/>
      <c r="G60" s="269"/>
    </row>
    <row r="61" spans="1:7">
      <c r="A61" s="275">
        <v>5</v>
      </c>
      <c r="B61" s="520" t="s">
        <v>92</v>
      </c>
      <c r="C61" s="275" t="s">
        <v>44</v>
      </c>
      <c r="D61" s="288"/>
      <c r="E61" s="289"/>
      <c r="F61" s="290"/>
      <c r="G61" s="289"/>
    </row>
    <row r="62" spans="1:7">
      <c r="A62" s="257">
        <v>5.0999999999999996</v>
      </c>
      <c r="B62" s="526" t="s">
        <v>93</v>
      </c>
      <c r="C62" s="257" t="s">
        <v>16</v>
      </c>
      <c r="D62" s="258"/>
      <c r="E62" s="259"/>
      <c r="F62" s="260"/>
      <c r="G62" s="259"/>
    </row>
    <row r="63" spans="1:7">
      <c r="A63" s="257">
        <v>5.2</v>
      </c>
      <c r="B63" s="526" t="s">
        <v>94</v>
      </c>
      <c r="C63" s="257" t="s">
        <v>16</v>
      </c>
      <c r="D63" s="258"/>
      <c r="E63" s="259"/>
      <c r="F63" s="260"/>
      <c r="G63" s="259"/>
    </row>
    <row r="64" spans="1:7">
      <c r="A64" s="274"/>
      <c r="B64" s="526"/>
      <c r="C64" s="274"/>
      <c r="D64" s="291"/>
      <c r="E64" s="257"/>
      <c r="F64" s="292"/>
      <c r="G64" s="291"/>
    </row>
    <row r="65" spans="1:7">
      <c r="A65" s="257">
        <v>5.3</v>
      </c>
      <c r="B65" s="522" t="s">
        <v>95</v>
      </c>
      <c r="C65" s="293"/>
      <c r="D65" s="294"/>
      <c r="E65" s="281"/>
      <c r="F65" s="282"/>
      <c r="G65" s="281"/>
    </row>
    <row r="66" spans="1:7">
      <c r="A66" s="257"/>
      <c r="B66" s="526" t="s">
        <v>96</v>
      </c>
      <c r="C66" s="257" t="s">
        <v>97</v>
      </c>
      <c r="D66" s="258"/>
      <c r="E66" s="259"/>
      <c r="F66" s="260"/>
      <c r="G66" s="259"/>
    </row>
    <row r="67" spans="1:7">
      <c r="A67" s="257"/>
      <c r="B67" s="526" t="s">
        <v>98</v>
      </c>
      <c r="C67" s="257" t="s">
        <v>97</v>
      </c>
      <c r="D67" s="258"/>
      <c r="E67" s="259"/>
      <c r="F67" s="260"/>
      <c r="G67" s="259"/>
    </row>
    <row r="68" spans="1:7">
      <c r="A68" s="257"/>
      <c r="B68" s="526" t="s">
        <v>99</v>
      </c>
      <c r="C68" s="257" t="s">
        <v>97</v>
      </c>
      <c r="D68" s="258"/>
      <c r="E68" s="259"/>
      <c r="F68" s="260"/>
      <c r="G68" s="259"/>
    </row>
    <row r="69" spans="1:7">
      <c r="A69" s="257"/>
      <c r="B69" s="526" t="s">
        <v>45</v>
      </c>
      <c r="C69" s="293"/>
      <c r="D69" s="291"/>
      <c r="E69" s="281"/>
      <c r="F69" s="282"/>
      <c r="G69" s="281"/>
    </row>
    <row r="70" spans="1:7">
      <c r="A70" s="257"/>
      <c r="B70" s="526" t="s">
        <v>100</v>
      </c>
      <c r="C70" s="257" t="s">
        <v>97</v>
      </c>
      <c r="D70" s="258"/>
      <c r="E70" s="259"/>
      <c r="F70" s="260"/>
      <c r="G70" s="259"/>
    </row>
    <row r="71" spans="1:7">
      <c r="A71" s="257"/>
      <c r="B71" s="526" t="s">
        <v>101</v>
      </c>
      <c r="C71" s="257" t="s">
        <v>97</v>
      </c>
      <c r="D71" s="258"/>
      <c r="E71" s="259"/>
      <c r="F71" s="260"/>
      <c r="G71" s="259"/>
    </row>
    <row r="72" spans="1:7">
      <c r="A72" s="274"/>
      <c r="B72" s="526"/>
      <c r="C72" s="274"/>
      <c r="D72" s="291"/>
      <c r="E72" s="257"/>
      <c r="F72" s="292"/>
      <c r="G72" s="291"/>
    </row>
    <row r="73" spans="1:7">
      <c r="A73" s="257">
        <v>5.4</v>
      </c>
      <c r="B73" s="522" t="s">
        <v>102</v>
      </c>
      <c r="C73" s="293"/>
      <c r="D73" s="294"/>
      <c r="E73" s="281"/>
      <c r="F73" s="282"/>
      <c r="G73" s="281"/>
    </row>
    <row r="74" spans="1:7">
      <c r="A74" s="257"/>
      <c r="B74" s="526" t="s">
        <v>103</v>
      </c>
      <c r="C74" s="257" t="s">
        <v>104</v>
      </c>
      <c r="D74" s="258"/>
      <c r="E74" s="259"/>
      <c r="F74" s="260"/>
      <c r="G74" s="259"/>
    </row>
    <row r="75" spans="1:7">
      <c r="A75" s="295"/>
      <c r="B75" s="530"/>
      <c r="C75" s="295"/>
      <c r="D75" s="296"/>
      <c r="E75" s="297"/>
      <c r="F75" s="298"/>
      <c r="G75" s="297"/>
    </row>
    <row r="76" spans="1:7">
      <c r="A76" s="265"/>
      <c r="B76" s="525" t="s">
        <v>91</v>
      </c>
      <c r="C76" s="265"/>
      <c r="D76" s="266"/>
      <c r="E76" s="267"/>
      <c r="F76" s="268"/>
      <c r="G76" s="269"/>
    </row>
    <row r="77" spans="1:7">
      <c r="A77" s="276"/>
      <c r="B77" s="531"/>
      <c r="C77" s="276"/>
      <c r="D77" s="277"/>
      <c r="E77" s="278"/>
      <c r="F77" s="279"/>
      <c r="G77" s="277"/>
    </row>
    <row r="78" spans="1:7">
      <c r="A78" s="1618" t="s">
        <v>105</v>
      </c>
      <c r="B78" s="1619"/>
      <c r="C78" s="1619"/>
      <c r="D78" s="1619"/>
      <c r="E78" s="1619"/>
      <c r="F78" s="1620"/>
      <c r="G78" s="299">
        <f>SUM(G76,G60,G46,G21,G16)</f>
        <v>0</v>
      </c>
    </row>
  </sheetData>
  <mergeCells count="6">
    <mergeCell ref="D6:D7"/>
    <mergeCell ref="E6:F6"/>
    <mergeCell ref="A78:F78"/>
    <mergeCell ref="A6:A7"/>
    <mergeCell ref="B6:B7"/>
    <mergeCell ref="C6:C7"/>
  </mergeCells>
  <printOptions horizontalCentered="1"/>
  <pageMargins left="0.52" right="0.55000000000000004" top="0.5" bottom="0.74803149606299202" header="0.31496062992126" footer="0.31496062992126"/>
  <pageSetup paperSize="9" scale="63" orientation="portrait" r:id="rId1"/>
  <headerFooter>
    <oddFooter>&amp;CIndirect Cost Page&amp;P of &amp;N</oddFooter>
  </headerFooter>
  <rowBreaks count="1" manualBreakCount="1">
    <brk id="46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W325"/>
  <sheetViews>
    <sheetView view="pageBreakPreview" topLeftCell="A2" zoomScale="70" zoomScaleNormal="70" zoomScaleSheetLayoutView="70" workbookViewId="0">
      <pane xSplit="4" ySplit="8" topLeftCell="E10" activePane="bottomRight" state="frozen"/>
      <selection pane="bottomRight" activeCell="H219" sqref="H219"/>
      <selection pane="bottomLeft" activeCell="A10" sqref="A10"/>
      <selection pane="topRight" activeCell="E2" sqref="E2"/>
    </sheetView>
  </sheetViews>
  <sheetFormatPr defaultColWidth="9.140625" defaultRowHeight="18.75"/>
  <cols>
    <col min="1" max="1" width="6.42578125" style="300" customWidth="1"/>
    <col min="2" max="2" width="7.140625" style="300" customWidth="1"/>
    <col min="3" max="3" width="8" style="316" customWidth="1"/>
    <col min="4" max="4" width="84.140625" style="516" customWidth="1"/>
    <col min="5" max="5" width="14.5703125" style="517" bestFit="1" customWidth="1"/>
    <col min="6" max="6" width="7.42578125" style="300" customWidth="1"/>
    <col min="7" max="7" width="15.28515625" style="517" customWidth="1"/>
    <col min="8" max="8" width="20" style="300" bestFit="1" customWidth="1"/>
    <col min="9" max="9" width="15.28515625" style="517" customWidth="1"/>
    <col min="10" max="10" width="20" style="300" bestFit="1" customWidth="1"/>
    <col min="11" max="11" width="15.28515625" style="300" customWidth="1"/>
    <col min="12" max="12" width="19" style="351" customWidth="1"/>
    <col min="13" max="13" width="9.7109375" style="300" customWidth="1"/>
    <col min="14" max="14" width="9.85546875" style="300" customWidth="1"/>
    <col min="15" max="15" width="9.140625" style="300" customWidth="1"/>
    <col min="16" max="16" width="12.140625" style="300" customWidth="1"/>
    <col min="17" max="17" width="14.140625" style="300" customWidth="1"/>
    <col min="18" max="18" width="15.28515625" style="517" customWidth="1"/>
    <col min="19" max="19" width="16" style="517" bestFit="1" customWidth="1"/>
    <col min="20" max="21" width="14.140625" style="300" customWidth="1"/>
    <col min="22" max="16384" width="9.140625" style="300"/>
  </cols>
  <sheetData>
    <row r="1" spans="1:21" ht="34.5" hidden="1" thickBot="1">
      <c r="A1" s="1580" t="s">
        <v>0</v>
      </c>
      <c r="B1" s="1581"/>
      <c r="C1" s="1581"/>
      <c r="D1" s="1581"/>
      <c r="E1" s="1581"/>
      <c r="F1" s="1581"/>
      <c r="G1" s="1581"/>
      <c r="H1" s="1581"/>
      <c r="I1" s="1581"/>
      <c r="J1" s="1581"/>
      <c r="K1" s="1581"/>
      <c r="L1" s="1582"/>
    </row>
    <row r="2" spans="1:21" ht="33.75">
      <c r="A2" s="1631" t="s">
        <v>0</v>
      </c>
      <c r="B2" s="1632"/>
      <c r="C2" s="1632"/>
      <c r="D2" s="1632"/>
      <c r="E2" s="1632"/>
      <c r="F2" s="1632"/>
      <c r="G2" s="1632"/>
      <c r="H2" s="1632"/>
      <c r="I2" s="1632"/>
      <c r="J2" s="1632"/>
      <c r="K2" s="1632"/>
      <c r="L2" s="1633"/>
      <c r="R2" s="532"/>
      <c r="S2" s="532"/>
    </row>
    <row r="3" spans="1:21" ht="28.5">
      <c r="A3" s="1634" t="s">
        <v>106</v>
      </c>
      <c r="B3" s="1635"/>
      <c r="C3" s="1635"/>
      <c r="D3" s="1635"/>
      <c r="E3" s="1635"/>
      <c r="F3" s="1635"/>
      <c r="G3" s="1635"/>
      <c r="H3" s="1635"/>
      <c r="I3" s="1635"/>
      <c r="J3" s="1635"/>
      <c r="K3" s="1635"/>
      <c r="L3" s="1636"/>
      <c r="R3" s="532"/>
      <c r="S3" s="532"/>
    </row>
    <row r="4" spans="1:21" ht="26.25" customHeight="1">
      <c r="A4" s="352" t="s">
        <v>1</v>
      </c>
      <c r="B4" s="302"/>
      <c r="C4" s="303"/>
      <c r="D4" s="353" t="s">
        <v>107</v>
      </c>
      <c r="E4" s="354"/>
      <c r="F4" s="305"/>
      <c r="G4" s="533"/>
      <c r="H4" s="304"/>
      <c r="I4" s="355" t="s">
        <v>108</v>
      </c>
      <c r="J4" s="356"/>
      <c r="K4" s="357"/>
      <c r="L4" s="310"/>
      <c r="R4" s="533"/>
      <c r="S4" s="532"/>
      <c r="U4" s="1651"/>
    </row>
    <row r="5" spans="1:21" ht="27" customHeight="1">
      <c r="A5" s="358" t="s">
        <v>109</v>
      </c>
      <c r="B5" s="306"/>
      <c r="C5" s="307"/>
      <c r="D5" s="359" t="s">
        <v>110</v>
      </c>
      <c r="E5" s="360"/>
      <c r="F5" s="309"/>
      <c r="G5" s="534"/>
      <c r="H5" s="308"/>
      <c r="I5" s="355" t="s">
        <v>111</v>
      </c>
      <c r="J5" s="356"/>
      <c r="K5" s="357"/>
      <c r="L5" s="310"/>
      <c r="R5" s="534"/>
      <c r="S5" s="532"/>
      <c r="U5" s="1651"/>
    </row>
    <row r="6" spans="1:21" ht="24" thickBot="1">
      <c r="A6" s="361" t="s">
        <v>3</v>
      </c>
      <c r="B6" s="311"/>
      <c r="C6" s="312"/>
      <c r="D6" s="362" t="s">
        <v>112</v>
      </c>
      <c r="E6" s="363"/>
      <c r="F6" s="314"/>
      <c r="G6" s="552"/>
      <c r="H6" s="313"/>
      <c r="I6" s="364" t="s">
        <v>113</v>
      </c>
      <c r="J6" s="365"/>
      <c r="K6" s="366"/>
      <c r="L6" s="367"/>
      <c r="N6" s="1652"/>
      <c r="O6" s="1652"/>
      <c r="P6" s="1652"/>
      <c r="Q6" s="1652"/>
      <c r="R6" s="1652"/>
      <c r="S6" s="1652"/>
      <c r="T6" s="1652"/>
      <c r="U6" s="1652"/>
    </row>
    <row r="7" spans="1:21" s="316" customFormat="1" ht="21">
      <c r="A7" s="1637" t="s">
        <v>6</v>
      </c>
      <c r="B7" s="1639" t="s">
        <v>7</v>
      </c>
      <c r="C7" s="1640"/>
      <c r="D7" s="1641"/>
      <c r="E7" s="1645" t="s">
        <v>8</v>
      </c>
      <c r="F7" s="1647" t="s">
        <v>9</v>
      </c>
      <c r="G7" s="1649" t="s">
        <v>10</v>
      </c>
      <c r="H7" s="1650"/>
      <c r="I7" s="1649" t="s">
        <v>11</v>
      </c>
      <c r="J7" s="1650"/>
      <c r="K7" s="1654" t="s">
        <v>12</v>
      </c>
      <c r="L7" s="1656" t="s">
        <v>13</v>
      </c>
      <c r="N7" s="1658"/>
      <c r="O7" s="1591"/>
      <c r="P7" s="1659"/>
      <c r="Q7" s="1659"/>
      <c r="R7" s="535"/>
      <c r="S7" s="1659"/>
      <c r="T7" s="1659"/>
      <c r="U7" s="1653"/>
    </row>
    <row r="8" spans="1:21" s="316" customFormat="1" ht="21">
      <c r="A8" s="1638"/>
      <c r="B8" s="1642"/>
      <c r="C8" s="1643"/>
      <c r="D8" s="1644"/>
      <c r="E8" s="1646"/>
      <c r="F8" s="1648"/>
      <c r="G8" s="370" t="s">
        <v>9</v>
      </c>
      <c r="H8" s="369" t="s">
        <v>13</v>
      </c>
      <c r="I8" s="370" t="s">
        <v>9</v>
      </c>
      <c r="J8" s="369" t="s">
        <v>13</v>
      </c>
      <c r="K8" s="1655"/>
      <c r="L8" s="1657"/>
      <c r="N8" s="1658"/>
      <c r="O8" s="1591"/>
      <c r="P8" s="371"/>
      <c r="Q8" s="368"/>
      <c r="R8" s="536" t="s">
        <v>9</v>
      </c>
      <c r="S8" s="535" t="s">
        <v>114</v>
      </c>
      <c r="T8" s="368"/>
      <c r="U8" s="1653"/>
    </row>
    <row r="9" spans="1:21" s="316" customFormat="1" ht="21">
      <c r="A9" s="1638"/>
      <c r="B9" s="1642"/>
      <c r="C9" s="1643"/>
      <c r="D9" s="1644"/>
      <c r="E9" s="1646"/>
      <c r="F9" s="1648"/>
      <c r="G9" s="373" t="s">
        <v>115</v>
      </c>
      <c r="H9" s="372" t="s">
        <v>14</v>
      </c>
      <c r="I9" s="373" t="s">
        <v>115</v>
      </c>
      <c r="J9" s="372" t="s">
        <v>14</v>
      </c>
      <c r="K9" s="1655"/>
      <c r="L9" s="374" t="s">
        <v>14</v>
      </c>
      <c r="N9" s="1658"/>
      <c r="O9" s="1591"/>
      <c r="P9" s="371"/>
      <c r="Q9" s="368"/>
      <c r="R9" s="537" t="s">
        <v>115</v>
      </c>
      <c r="S9" s="538">
        <v>1.4</v>
      </c>
      <c r="T9" s="368" t="s">
        <v>116</v>
      </c>
      <c r="U9" s="368"/>
    </row>
    <row r="10" spans="1:21" ht="21">
      <c r="A10" s="375">
        <v>1</v>
      </c>
      <c r="B10" s="376" t="s">
        <v>117</v>
      </c>
      <c r="C10" s="377"/>
      <c r="D10" s="378"/>
      <c r="E10" s="379"/>
      <c r="F10" s="379"/>
      <c r="G10" s="553"/>
      <c r="H10" s="380">
        <f>SUM(H11:H39)</f>
        <v>3044385</v>
      </c>
      <c r="I10" s="380"/>
      <c r="J10" s="380">
        <f>SUM(J11:J39)</f>
        <v>1137847</v>
      </c>
      <c r="K10" s="380"/>
      <c r="L10" s="381">
        <f>H10+J10</f>
        <v>4182232</v>
      </c>
      <c r="N10" s="382"/>
      <c r="O10" s="317"/>
      <c r="P10" s="339"/>
      <c r="Q10" s="339"/>
      <c r="R10" s="339"/>
      <c r="S10" s="339"/>
      <c r="T10" s="339"/>
      <c r="U10" s="301"/>
    </row>
    <row r="11" spans="1:21">
      <c r="A11" s="383"/>
      <c r="B11" s="384">
        <v>1.1000000000000001</v>
      </c>
      <c r="C11" s="385"/>
      <c r="D11" s="386" t="s">
        <v>118</v>
      </c>
      <c r="E11" s="387"/>
      <c r="F11" s="387"/>
      <c r="G11" s="388"/>
      <c r="H11" s="389"/>
      <c r="I11" s="390"/>
      <c r="J11" s="389"/>
      <c r="K11" s="389"/>
      <c r="L11" s="391"/>
      <c r="N11" s="382"/>
      <c r="O11" s="317"/>
      <c r="P11" s="339"/>
      <c r="Q11" s="338"/>
      <c r="R11" s="339"/>
      <c r="S11" s="339"/>
      <c r="T11" s="340"/>
      <c r="U11" s="301"/>
    </row>
    <row r="12" spans="1:21">
      <c r="A12" s="392"/>
      <c r="B12" s="384"/>
      <c r="C12" s="385" t="s">
        <v>119</v>
      </c>
      <c r="D12" s="386" t="s">
        <v>120</v>
      </c>
      <c r="E12" s="387">
        <v>950</v>
      </c>
      <c r="F12" s="387" t="s">
        <v>121</v>
      </c>
      <c r="G12" s="388">
        <v>0</v>
      </c>
      <c r="H12" s="390">
        <f t="shared" ref="H12:H38" si="0">E12*G12</f>
        <v>0</v>
      </c>
      <c r="I12" s="390">
        <v>110</v>
      </c>
      <c r="J12" s="390">
        <f t="shared" ref="J12:J39" si="1">E12*I12</f>
        <v>104500</v>
      </c>
      <c r="K12" s="389">
        <f t="shared" ref="K12:K39" si="2">I12+G12</f>
        <v>110</v>
      </c>
      <c r="L12" s="391">
        <f t="shared" ref="L12:L39" si="3">H12+J12</f>
        <v>104500</v>
      </c>
      <c r="N12" s="382"/>
      <c r="O12" s="317"/>
      <c r="P12" s="337"/>
      <c r="Q12" s="338"/>
      <c r="R12" s="338"/>
      <c r="S12" s="339"/>
      <c r="T12" s="340"/>
      <c r="U12" s="301"/>
    </row>
    <row r="13" spans="1:21">
      <c r="A13" s="383"/>
      <c r="B13" s="384"/>
      <c r="C13" s="385" t="s">
        <v>122</v>
      </c>
      <c r="D13" s="386" t="s">
        <v>123</v>
      </c>
      <c r="E13" s="388">
        <v>301</v>
      </c>
      <c r="F13" s="388" t="s">
        <v>124</v>
      </c>
      <c r="G13" s="388">
        <v>0</v>
      </c>
      <c r="H13" s="390">
        <f t="shared" si="0"/>
        <v>0</v>
      </c>
      <c r="I13" s="390">
        <v>55</v>
      </c>
      <c r="J13" s="390">
        <f t="shared" si="1"/>
        <v>16555</v>
      </c>
      <c r="K13" s="389">
        <f t="shared" si="2"/>
        <v>55</v>
      </c>
      <c r="L13" s="391">
        <f t="shared" si="3"/>
        <v>16555</v>
      </c>
      <c r="N13" s="382"/>
      <c r="O13" s="317"/>
      <c r="P13" s="337"/>
      <c r="Q13" s="338"/>
      <c r="R13" s="338"/>
      <c r="S13" s="339"/>
      <c r="T13" s="340"/>
      <c r="U13" s="301"/>
    </row>
    <row r="14" spans="1:21">
      <c r="A14" s="383"/>
      <c r="B14" s="384"/>
      <c r="C14" s="385" t="s">
        <v>125</v>
      </c>
      <c r="D14" s="386" t="s">
        <v>126</v>
      </c>
      <c r="E14" s="388">
        <v>264</v>
      </c>
      <c r="F14" s="388" t="s">
        <v>124</v>
      </c>
      <c r="G14" s="388">
        <v>0</v>
      </c>
      <c r="H14" s="390">
        <f t="shared" si="0"/>
        <v>0</v>
      </c>
      <c r="I14" s="390">
        <v>55</v>
      </c>
      <c r="J14" s="390">
        <f t="shared" si="1"/>
        <v>14520</v>
      </c>
      <c r="K14" s="389">
        <f t="shared" si="2"/>
        <v>55</v>
      </c>
      <c r="L14" s="391">
        <f t="shared" si="3"/>
        <v>14520</v>
      </c>
      <c r="N14" s="382"/>
      <c r="O14" s="317"/>
      <c r="P14" s="337"/>
      <c r="Q14" s="338"/>
      <c r="R14" s="338"/>
      <c r="S14" s="339"/>
      <c r="T14" s="340"/>
      <c r="U14" s="301"/>
    </row>
    <row r="15" spans="1:21">
      <c r="A15" s="383"/>
      <c r="B15" s="384"/>
      <c r="C15" s="385" t="s">
        <v>127</v>
      </c>
      <c r="D15" s="386" t="s">
        <v>128</v>
      </c>
      <c r="E15" s="388">
        <v>12</v>
      </c>
      <c r="F15" s="388" t="s">
        <v>124</v>
      </c>
      <c r="G15" s="388">
        <v>640</v>
      </c>
      <c r="H15" s="390">
        <f t="shared" si="0"/>
        <v>7680</v>
      </c>
      <c r="I15" s="390">
        <v>120</v>
      </c>
      <c r="J15" s="390">
        <f t="shared" si="1"/>
        <v>1440</v>
      </c>
      <c r="K15" s="389">
        <f t="shared" si="2"/>
        <v>760</v>
      </c>
      <c r="L15" s="391">
        <f t="shared" si="3"/>
        <v>9120</v>
      </c>
      <c r="N15" s="382"/>
      <c r="O15" s="317"/>
      <c r="P15" s="337"/>
      <c r="Q15" s="338"/>
      <c r="R15" s="338"/>
      <c r="S15" s="339"/>
      <c r="T15" s="340"/>
      <c r="U15" s="301"/>
    </row>
    <row r="16" spans="1:21">
      <c r="A16" s="383"/>
      <c r="B16" s="384"/>
      <c r="C16" s="385" t="s">
        <v>129</v>
      </c>
      <c r="D16" s="386" t="s">
        <v>130</v>
      </c>
      <c r="E16" s="388">
        <v>9</v>
      </c>
      <c r="F16" s="388" t="s">
        <v>124</v>
      </c>
      <c r="G16" s="388">
        <v>2200</v>
      </c>
      <c r="H16" s="390">
        <f t="shared" si="0"/>
        <v>19800</v>
      </c>
      <c r="I16" s="390">
        <v>300</v>
      </c>
      <c r="J16" s="390">
        <f t="shared" si="1"/>
        <v>2700</v>
      </c>
      <c r="K16" s="389">
        <f t="shared" si="2"/>
        <v>2500</v>
      </c>
      <c r="L16" s="391">
        <f t="shared" si="3"/>
        <v>22500</v>
      </c>
      <c r="N16" s="382"/>
      <c r="O16" s="317"/>
      <c r="P16" s="337"/>
      <c r="Q16" s="338"/>
      <c r="R16" s="338"/>
      <c r="S16" s="339"/>
      <c r="T16" s="340"/>
      <c r="U16" s="301"/>
    </row>
    <row r="17" spans="1:21">
      <c r="A17" s="383"/>
      <c r="B17" s="384"/>
      <c r="C17" s="385" t="s">
        <v>131</v>
      </c>
      <c r="D17" s="386" t="s">
        <v>132</v>
      </c>
      <c r="E17" s="388">
        <v>135</v>
      </c>
      <c r="F17" s="388" t="s">
        <v>124</v>
      </c>
      <c r="G17" s="388">
        <v>4100</v>
      </c>
      <c r="H17" s="390">
        <f t="shared" si="0"/>
        <v>553500</v>
      </c>
      <c r="I17" s="390">
        <v>450</v>
      </c>
      <c r="J17" s="390">
        <f t="shared" si="1"/>
        <v>60750</v>
      </c>
      <c r="K17" s="389">
        <f t="shared" si="2"/>
        <v>4550</v>
      </c>
      <c r="L17" s="391">
        <f t="shared" si="3"/>
        <v>614250</v>
      </c>
      <c r="N17" s="382"/>
      <c r="O17" s="317"/>
      <c r="P17" s="337"/>
      <c r="Q17" s="338"/>
      <c r="R17" s="338"/>
      <c r="S17" s="339"/>
      <c r="T17" s="340"/>
      <c r="U17" s="301"/>
    </row>
    <row r="18" spans="1:21">
      <c r="A18" s="383"/>
      <c r="B18" s="384"/>
      <c r="C18" s="385" t="s">
        <v>133</v>
      </c>
      <c r="D18" s="386" t="s">
        <v>134</v>
      </c>
      <c r="E18" s="388">
        <v>923</v>
      </c>
      <c r="F18" s="388" t="s">
        <v>121</v>
      </c>
      <c r="G18" s="388">
        <v>350</v>
      </c>
      <c r="H18" s="390">
        <f t="shared" si="0"/>
        <v>323050</v>
      </c>
      <c r="I18" s="390">
        <v>180</v>
      </c>
      <c r="J18" s="390">
        <f t="shared" si="1"/>
        <v>166140</v>
      </c>
      <c r="K18" s="389">
        <f t="shared" si="2"/>
        <v>530</v>
      </c>
      <c r="L18" s="391">
        <f t="shared" si="3"/>
        <v>489190</v>
      </c>
      <c r="N18" s="382"/>
      <c r="O18" s="317"/>
      <c r="P18" s="337"/>
      <c r="Q18" s="338"/>
      <c r="R18" s="338"/>
      <c r="S18" s="339"/>
      <c r="T18" s="340"/>
      <c r="U18" s="301"/>
    </row>
    <row r="19" spans="1:21">
      <c r="A19" s="383"/>
      <c r="B19" s="384"/>
      <c r="C19" s="385" t="s">
        <v>135</v>
      </c>
      <c r="D19" s="386" t="s">
        <v>136</v>
      </c>
      <c r="E19" s="388"/>
      <c r="F19" s="388"/>
      <c r="G19" s="388">
        <v>0</v>
      </c>
      <c r="H19" s="390">
        <f t="shared" si="0"/>
        <v>0</v>
      </c>
      <c r="I19" s="390">
        <v>0</v>
      </c>
      <c r="J19" s="390">
        <f t="shared" si="1"/>
        <v>0</v>
      </c>
      <c r="K19" s="389">
        <f t="shared" si="2"/>
        <v>0</v>
      </c>
      <c r="L19" s="391">
        <f t="shared" si="3"/>
        <v>0</v>
      </c>
      <c r="N19" s="382"/>
      <c r="O19" s="317"/>
      <c r="P19" s="337"/>
      <c r="Q19" s="338"/>
      <c r="R19" s="338"/>
      <c r="S19" s="339"/>
      <c r="T19" s="340"/>
      <c r="U19" s="301"/>
    </row>
    <row r="20" spans="1:21">
      <c r="A20" s="383"/>
      <c r="B20" s="384"/>
      <c r="C20" s="385"/>
      <c r="D20" s="386" t="s">
        <v>137</v>
      </c>
      <c r="E20" s="388">
        <v>7516</v>
      </c>
      <c r="F20" s="388" t="s">
        <v>138</v>
      </c>
      <c r="G20" s="388">
        <v>35</v>
      </c>
      <c r="H20" s="390">
        <f t="shared" si="0"/>
        <v>263060</v>
      </c>
      <c r="I20" s="390">
        <v>7</v>
      </c>
      <c r="J20" s="390">
        <f t="shared" si="1"/>
        <v>52612</v>
      </c>
      <c r="K20" s="389">
        <f t="shared" si="2"/>
        <v>42</v>
      </c>
      <c r="L20" s="391">
        <f t="shared" si="3"/>
        <v>315672</v>
      </c>
      <c r="N20" s="382"/>
      <c r="O20" s="317"/>
      <c r="P20" s="337"/>
      <c r="Q20" s="338"/>
      <c r="R20" s="338"/>
      <c r="S20" s="339"/>
      <c r="T20" s="340"/>
      <c r="U20" s="301"/>
    </row>
    <row r="21" spans="1:21">
      <c r="A21" s="383"/>
      <c r="B21" s="384"/>
      <c r="C21" s="385"/>
      <c r="D21" s="386" t="s">
        <v>139</v>
      </c>
      <c r="E21" s="388">
        <v>983</v>
      </c>
      <c r="F21" s="388" t="s">
        <v>138</v>
      </c>
      <c r="G21" s="388">
        <v>35</v>
      </c>
      <c r="H21" s="390">
        <f t="shared" si="0"/>
        <v>34405</v>
      </c>
      <c r="I21" s="390">
        <v>7</v>
      </c>
      <c r="J21" s="390">
        <f t="shared" si="1"/>
        <v>6881</v>
      </c>
      <c r="K21" s="389">
        <f t="shared" si="2"/>
        <v>42</v>
      </c>
      <c r="L21" s="391">
        <f t="shared" si="3"/>
        <v>41286</v>
      </c>
      <c r="N21" s="382"/>
      <c r="O21" s="317"/>
      <c r="P21" s="337"/>
      <c r="Q21" s="338"/>
      <c r="R21" s="338"/>
      <c r="S21" s="339"/>
      <c r="T21" s="340"/>
      <c r="U21" s="301"/>
    </row>
    <row r="22" spans="1:21">
      <c r="A22" s="383"/>
      <c r="B22" s="384"/>
      <c r="C22" s="385"/>
      <c r="D22" s="386" t="s">
        <v>140</v>
      </c>
      <c r="E22" s="388">
        <v>3765</v>
      </c>
      <c r="F22" s="388" t="s">
        <v>138</v>
      </c>
      <c r="G22" s="388">
        <v>35</v>
      </c>
      <c r="H22" s="390">
        <f t="shared" si="0"/>
        <v>131775</v>
      </c>
      <c r="I22" s="390">
        <v>7</v>
      </c>
      <c r="J22" s="390">
        <f t="shared" si="1"/>
        <v>26355</v>
      </c>
      <c r="K22" s="389">
        <f t="shared" si="2"/>
        <v>42</v>
      </c>
      <c r="L22" s="391">
        <f t="shared" si="3"/>
        <v>158130</v>
      </c>
      <c r="N22" s="382"/>
      <c r="O22" s="317"/>
      <c r="P22" s="337"/>
      <c r="Q22" s="338"/>
      <c r="R22" s="338"/>
      <c r="S22" s="339"/>
      <c r="T22" s="340"/>
      <c r="U22" s="301"/>
    </row>
    <row r="23" spans="1:21">
      <c r="A23" s="383"/>
      <c r="B23" s="384"/>
      <c r="C23" s="385"/>
      <c r="D23" s="386" t="s">
        <v>141</v>
      </c>
      <c r="E23" s="388">
        <v>3427</v>
      </c>
      <c r="F23" s="388" t="s">
        <v>138</v>
      </c>
      <c r="G23" s="388">
        <v>35</v>
      </c>
      <c r="H23" s="390">
        <f t="shared" si="0"/>
        <v>119945</v>
      </c>
      <c r="I23" s="390">
        <v>7</v>
      </c>
      <c r="J23" s="390">
        <f t="shared" si="1"/>
        <v>23989</v>
      </c>
      <c r="K23" s="389">
        <f t="shared" si="2"/>
        <v>42</v>
      </c>
      <c r="L23" s="391">
        <f t="shared" si="3"/>
        <v>143934</v>
      </c>
      <c r="N23" s="382"/>
      <c r="O23" s="317"/>
      <c r="P23" s="337"/>
      <c r="Q23" s="338"/>
      <c r="R23" s="338"/>
      <c r="S23" s="339"/>
      <c r="T23" s="340"/>
      <c r="U23" s="301"/>
    </row>
    <row r="24" spans="1:21">
      <c r="A24" s="383"/>
      <c r="B24" s="384"/>
      <c r="C24" s="385" t="s">
        <v>142</v>
      </c>
      <c r="D24" s="386" t="s">
        <v>143</v>
      </c>
      <c r="E24" s="388">
        <v>440</v>
      </c>
      <c r="F24" s="388" t="s">
        <v>138</v>
      </c>
      <c r="G24" s="388">
        <v>50</v>
      </c>
      <c r="H24" s="390">
        <f t="shared" si="0"/>
        <v>22000</v>
      </c>
      <c r="I24" s="390">
        <v>0</v>
      </c>
      <c r="J24" s="390">
        <f t="shared" si="1"/>
        <v>0</v>
      </c>
      <c r="K24" s="389">
        <f t="shared" si="2"/>
        <v>50</v>
      </c>
      <c r="L24" s="391">
        <f t="shared" si="3"/>
        <v>22000</v>
      </c>
      <c r="N24" s="382"/>
      <c r="O24" s="317"/>
      <c r="P24" s="337"/>
      <c r="Q24" s="338"/>
      <c r="R24" s="338"/>
      <c r="S24" s="339"/>
      <c r="T24" s="340"/>
      <c r="U24" s="301"/>
    </row>
    <row r="25" spans="1:21">
      <c r="A25" s="383"/>
      <c r="B25" s="384"/>
      <c r="C25" s="385" t="s">
        <v>144</v>
      </c>
      <c r="D25" s="386" t="s">
        <v>145</v>
      </c>
      <c r="E25" s="388">
        <v>182</v>
      </c>
      <c r="F25" s="388" t="s">
        <v>138</v>
      </c>
      <c r="G25" s="388">
        <v>50</v>
      </c>
      <c r="H25" s="390">
        <f t="shared" si="0"/>
        <v>9100</v>
      </c>
      <c r="I25" s="390">
        <v>0</v>
      </c>
      <c r="J25" s="390">
        <f t="shared" si="1"/>
        <v>0</v>
      </c>
      <c r="K25" s="389">
        <f t="shared" si="2"/>
        <v>50</v>
      </c>
      <c r="L25" s="391">
        <f t="shared" si="3"/>
        <v>9100</v>
      </c>
      <c r="N25" s="382"/>
      <c r="O25" s="317"/>
      <c r="P25" s="337"/>
      <c r="Q25" s="338"/>
      <c r="R25" s="338"/>
      <c r="S25" s="339"/>
      <c r="T25" s="340"/>
      <c r="U25" s="301"/>
    </row>
    <row r="26" spans="1:21">
      <c r="A26" s="383"/>
      <c r="B26" s="384"/>
      <c r="C26" s="385" t="s">
        <v>146</v>
      </c>
      <c r="D26" s="386" t="s">
        <v>147</v>
      </c>
      <c r="E26" s="388">
        <v>557</v>
      </c>
      <c r="F26" s="388" t="s">
        <v>121</v>
      </c>
      <c r="G26" s="388">
        <v>40</v>
      </c>
      <c r="H26" s="390">
        <f t="shared" si="0"/>
        <v>22280</v>
      </c>
      <c r="I26" s="390">
        <v>30</v>
      </c>
      <c r="J26" s="390">
        <f t="shared" si="1"/>
        <v>16710</v>
      </c>
      <c r="K26" s="389">
        <f t="shared" si="2"/>
        <v>70</v>
      </c>
      <c r="L26" s="391">
        <f t="shared" si="3"/>
        <v>38990</v>
      </c>
      <c r="N26" s="382"/>
      <c r="O26" s="317"/>
      <c r="P26" s="337"/>
      <c r="Q26" s="338"/>
      <c r="R26" s="338"/>
      <c r="S26" s="339"/>
      <c r="T26" s="340"/>
      <c r="U26" s="301"/>
    </row>
    <row r="27" spans="1:21">
      <c r="A27" s="383"/>
      <c r="B27" s="384"/>
      <c r="C27" s="385" t="s">
        <v>148</v>
      </c>
      <c r="D27" s="386" t="s">
        <v>149</v>
      </c>
      <c r="E27" s="388">
        <v>226</v>
      </c>
      <c r="F27" s="388" t="s">
        <v>121</v>
      </c>
      <c r="G27" s="388">
        <v>85</v>
      </c>
      <c r="H27" s="390">
        <f t="shared" si="0"/>
        <v>19210</v>
      </c>
      <c r="I27" s="390">
        <v>30</v>
      </c>
      <c r="J27" s="390">
        <f t="shared" si="1"/>
        <v>6780</v>
      </c>
      <c r="K27" s="389">
        <f t="shared" si="2"/>
        <v>115</v>
      </c>
      <c r="L27" s="391">
        <f t="shared" si="3"/>
        <v>25990</v>
      </c>
      <c r="N27" s="382"/>
      <c r="O27" s="317"/>
      <c r="P27" s="337"/>
      <c r="Q27" s="338"/>
      <c r="R27" s="338"/>
      <c r="S27" s="339"/>
      <c r="T27" s="340"/>
      <c r="U27" s="301"/>
    </row>
    <row r="28" spans="1:21">
      <c r="A28" s="383"/>
      <c r="B28" s="384">
        <v>1.2</v>
      </c>
      <c r="C28" s="385"/>
      <c r="D28" s="386" t="s">
        <v>150</v>
      </c>
      <c r="E28" s="388">
        <v>557</v>
      </c>
      <c r="F28" s="388" t="s">
        <v>121</v>
      </c>
      <c r="G28" s="388">
        <v>400</v>
      </c>
      <c r="H28" s="390">
        <f t="shared" si="0"/>
        <v>222800</v>
      </c>
      <c r="I28" s="390">
        <v>185</v>
      </c>
      <c r="J28" s="390">
        <f t="shared" si="1"/>
        <v>103045</v>
      </c>
      <c r="K28" s="389">
        <f t="shared" si="2"/>
        <v>585</v>
      </c>
      <c r="L28" s="391">
        <f t="shared" si="3"/>
        <v>325845</v>
      </c>
      <c r="N28" s="382"/>
      <c r="O28" s="317"/>
      <c r="P28" s="337"/>
      <c r="Q28" s="338"/>
      <c r="R28" s="338"/>
      <c r="S28" s="339"/>
      <c r="T28" s="340"/>
      <c r="U28" s="301"/>
    </row>
    <row r="29" spans="1:21">
      <c r="A29" s="383"/>
      <c r="B29" s="384">
        <v>1.3</v>
      </c>
      <c r="C29" s="385"/>
      <c r="D29" s="386" t="s">
        <v>151</v>
      </c>
      <c r="E29" s="388"/>
      <c r="F29" s="388"/>
      <c r="G29" s="388">
        <v>0</v>
      </c>
      <c r="H29" s="390">
        <f t="shared" si="0"/>
        <v>0</v>
      </c>
      <c r="I29" s="390">
        <v>0</v>
      </c>
      <c r="J29" s="390">
        <f t="shared" si="1"/>
        <v>0</v>
      </c>
      <c r="K29" s="389">
        <f t="shared" si="2"/>
        <v>0</v>
      </c>
      <c r="L29" s="391">
        <f t="shared" si="3"/>
        <v>0</v>
      </c>
      <c r="N29" s="382"/>
      <c r="O29" s="317"/>
      <c r="P29" s="337"/>
      <c r="Q29" s="338"/>
      <c r="R29" s="338"/>
      <c r="S29" s="339"/>
      <c r="T29" s="340"/>
      <c r="U29" s="301"/>
    </row>
    <row r="30" spans="1:21">
      <c r="A30" s="383"/>
      <c r="B30" s="384"/>
      <c r="C30" s="385" t="s">
        <v>152</v>
      </c>
      <c r="D30" s="386" t="s">
        <v>153</v>
      </c>
      <c r="E30" s="388">
        <v>7233</v>
      </c>
      <c r="F30" s="388" t="s">
        <v>138</v>
      </c>
      <c r="G30" s="388">
        <v>55</v>
      </c>
      <c r="H30" s="390">
        <f t="shared" si="0"/>
        <v>397815</v>
      </c>
      <c r="I30" s="390">
        <v>20</v>
      </c>
      <c r="J30" s="390">
        <f t="shared" si="1"/>
        <v>144660</v>
      </c>
      <c r="K30" s="389">
        <f t="shared" si="2"/>
        <v>75</v>
      </c>
      <c r="L30" s="391">
        <f t="shared" si="3"/>
        <v>542475</v>
      </c>
      <c r="N30" s="382"/>
      <c r="O30" s="317"/>
      <c r="P30" s="337"/>
      <c r="Q30" s="338"/>
      <c r="R30" s="338"/>
      <c r="S30" s="339"/>
      <c r="T30" s="340"/>
      <c r="U30" s="301"/>
    </row>
    <row r="31" spans="1:21">
      <c r="A31" s="383"/>
      <c r="B31" s="384"/>
      <c r="C31" s="385" t="s">
        <v>154</v>
      </c>
      <c r="D31" s="386" t="s">
        <v>155</v>
      </c>
      <c r="E31" s="388">
        <v>5571</v>
      </c>
      <c r="F31" s="388" t="s">
        <v>138</v>
      </c>
      <c r="G31" s="388">
        <v>55</v>
      </c>
      <c r="H31" s="390">
        <f t="shared" si="0"/>
        <v>306405</v>
      </c>
      <c r="I31" s="390">
        <v>20</v>
      </c>
      <c r="J31" s="390">
        <f t="shared" si="1"/>
        <v>111420</v>
      </c>
      <c r="K31" s="389">
        <f t="shared" si="2"/>
        <v>75</v>
      </c>
      <c r="L31" s="391">
        <f t="shared" si="3"/>
        <v>417825</v>
      </c>
      <c r="N31" s="382"/>
      <c r="O31" s="317"/>
      <c r="P31" s="337"/>
      <c r="Q31" s="338"/>
      <c r="R31" s="338"/>
      <c r="S31" s="339"/>
      <c r="T31" s="340"/>
      <c r="U31" s="301"/>
    </row>
    <row r="32" spans="1:21">
      <c r="A32" s="383"/>
      <c r="B32" s="384"/>
      <c r="C32" s="385" t="s">
        <v>156</v>
      </c>
      <c r="D32" s="386" t="s">
        <v>157</v>
      </c>
      <c r="E32" s="388">
        <f>58*2*5.5</f>
        <v>638</v>
      </c>
      <c r="F32" s="388" t="s">
        <v>138</v>
      </c>
      <c r="G32" s="388">
        <v>55</v>
      </c>
      <c r="H32" s="390">
        <f t="shared" ref="H32" si="4">E32*G32</f>
        <v>35090</v>
      </c>
      <c r="I32" s="390">
        <v>20</v>
      </c>
      <c r="J32" s="390">
        <f t="shared" ref="J32" si="5">E32*I32</f>
        <v>12760</v>
      </c>
      <c r="K32" s="389">
        <f t="shared" ref="K32" si="6">I32+G32</f>
        <v>75</v>
      </c>
      <c r="L32" s="391">
        <f t="shared" ref="L32" si="7">H32+J32</f>
        <v>47850</v>
      </c>
      <c r="N32" s="382"/>
      <c r="O32" s="317"/>
      <c r="P32" s="337"/>
      <c r="Q32" s="338"/>
      <c r="R32" s="338"/>
      <c r="S32" s="339"/>
      <c r="T32" s="340"/>
      <c r="U32" s="301"/>
    </row>
    <row r="33" spans="1:23">
      <c r="A33" s="383"/>
      <c r="B33" s="384"/>
      <c r="C33" s="385" t="s">
        <v>158</v>
      </c>
      <c r="D33" s="386" t="s">
        <v>159</v>
      </c>
      <c r="E33" s="388">
        <v>4401</v>
      </c>
      <c r="F33" s="388" t="s">
        <v>138</v>
      </c>
      <c r="G33" s="388">
        <v>55</v>
      </c>
      <c r="H33" s="390">
        <f t="shared" si="0"/>
        <v>242055</v>
      </c>
      <c r="I33" s="390">
        <v>20</v>
      </c>
      <c r="J33" s="390">
        <f t="shared" si="1"/>
        <v>88020</v>
      </c>
      <c r="K33" s="389">
        <f t="shared" si="2"/>
        <v>75</v>
      </c>
      <c r="L33" s="391">
        <f t="shared" si="3"/>
        <v>330075</v>
      </c>
      <c r="N33" s="382"/>
      <c r="O33" s="317"/>
      <c r="P33" s="337"/>
      <c r="Q33" s="338"/>
      <c r="R33" s="338"/>
      <c r="S33" s="339"/>
      <c r="T33" s="340"/>
      <c r="U33" s="301"/>
    </row>
    <row r="34" spans="1:23">
      <c r="A34" s="383"/>
      <c r="B34" s="384"/>
      <c r="C34" s="385" t="s">
        <v>160</v>
      </c>
      <c r="D34" s="386" t="s">
        <v>161</v>
      </c>
      <c r="E34" s="388">
        <v>927</v>
      </c>
      <c r="F34" s="388" t="s">
        <v>138</v>
      </c>
      <c r="G34" s="388">
        <v>55</v>
      </c>
      <c r="H34" s="390">
        <f t="shared" si="0"/>
        <v>50985</v>
      </c>
      <c r="I34" s="390">
        <v>20</v>
      </c>
      <c r="J34" s="390">
        <f t="shared" si="1"/>
        <v>18540</v>
      </c>
      <c r="K34" s="389">
        <f t="shared" si="2"/>
        <v>75</v>
      </c>
      <c r="L34" s="391">
        <f t="shared" si="3"/>
        <v>69525</v>
      </c>
      <c r="N34" s="382"/>
      <c r="O34" s="317"/>
      <c r="P34" s="337"/>
      <c r="Q34" s="338"/>
      <c r="R34" s="338"/>
      <c r="S34" s="339"/>
      <c r="T34" s="340"/>
      <c r="U34" s="301"/>
    </row>
    <row r="35" spans="1:23">
      <c r="A35" s="383"/>
      <c r="B35" s="384"/>
      <c r="C35" s="385" t="s">
        <v>162</v>
      </c>
      <c r="D35" s="386" t="s">
        <v>163</v>
      </c>
      <c r="E35" s="388">
        <v>1199</v>
      </c>
      <c r="F35" s="388" t="s">
        <v>121</v>
      </c>
      <c r="G35" s="388">
        <v>90</v>
      </c>
      <c r="H35" s="390">
        <f t="shared" si="0"/>
        <v>107910</v>
      </c>
      <c r="I35" s="390">
        <v>65</v>
      </c>
      <c r="J35" s="390">
        <f t="shared" si="1"/>
        <v>77935</v>
      </c>
      <c r="K35" s="389">
        <f t="shared" si="2"/>
        <v>155</v>
      </c>
      <c r="L35" s="391">
        <f t="shared" si="3"/>
        <v>185845</v>
      </c>
      <c r="N35" s="382"/>
      <c r="O35" s="317"/>
      <c r="P35" s="337"/>
      <c r="Q35" s="338"/>
      <c r="R35" s="338"/>
      <c r="S35" s="339"/>
      <c r="T35" s="340"/>
      <c r="U35" s="301"/>
    </row>
    <row r="36" spans="1:23">
      <c r="A36" s="383"/>
      <c r="B36" s="384"/>
      <c r="C36" s="385" t="s">
        <v>164</v>
      </c>
      <c r="D36" s="386" t="s">
        <v>165</v>
      </c>
      <c r="E36" s="388">
        <v>1199</v>
      </c>
      <c r="F36" s="388" t="s">
        <v>121</v>
      </c>
      <c r="G36" s="388">
        <v>80</v>
      </c>
      <c r="H36" s="390">
        <f t="shared" si="0"/>
        <v>95920</v>
      </c>
      <c r="I36" s="390">
        <v>65</v>
      </c>
      <c r="J36" s="390">
        <f t="shared" si="1"/>
        <v>77935</v>
      </c>
      <c r="K36" s="389">
        <f t="shared" si="2"/>
        <v>145</v>
      </c>
      <c r="L36" s="391">
        <f t="shared" si="3"/>
        <v>173855</v>
      </c>
      <c r="N36" s="382"/>
      <c r="O36" s="317"/>
      <c r="P36" s="337"/>
      <c r="Q36" s="338"/>
      <c r="R36" s="338"/>
      <c r="S36" s="339"/>
      <c r="T36" s="340"/>
      <c r="U36" s="301"/>
    </row>
    <row r="37" spans="1:23">
      <c r="A37" s="383"/>
      <c r="B37" s="384"/>
      <c r="C37" s="385" t="s">
        <v>166</v>
      </c>
      <c r="D37" s="386" t="s">
        <v>167</v>
      </c>
      <c r="E37" s="388">
        <v>48</v>
      </c>
      <c r="F37" s="388" t="s">
        <v>168</v>
      </c>
      <c r="G37" s="388">
        <v>200</v>
      </c>
      <c r="H37" s="390">
        <f t="shared" si="0"/>
        <v>9600</v>
      </c>
      <c r="I37" s="390">
        <v>75</v>
      </c>
      <c r="J37" s="390">
        <f t="shared" si="1"/>
        <v>3600</v>
      </c>
      <c r="K37" s="389">
        <f t="shared" si="2"/>
        <v>275</v>
      </c>
      <c r="L37" s="391">
        <f t="shared" si="3"/>
        <v>13200</v>
      </c>
      <c r="N37" s="382"/>
      <c r="O37" s="317"/>
      <c r="P37" s="337"/>
      <c r="Q37" s="338"/>
      <c r="R37" s="338"/>
      <c r="S37" s="339"/>
      <c r="T37" s="340"/>
      <c r="U37" s="301"/>
    </row>
    <row r="38" spans="1:23">
      <c r="A38" s="383"/>
      <c r="B38" s="384"/>
      <c r="C38" s="385" t="s">
        <v>169</v>
      </c>
      <c r="D38" s="386" t="s">
        <v>170</v>
      </c>
      <c r="E38" s="388">
        <v>1</v>
      </c>
      <c r="F38" s="388" t="s">
        <v>171</v>
      </c>
      <c r="G38" s="388">
        <v>50000</v>
      </c>
      <c r="H38" s="390">
        <f t="shared" si="0"/>
        <v>50000</v>
      </c>
      <c r="I38" s="390">
        <v>0</v>
      </c>
      <c r="J38" s="390">
        <f t="shared" si="1"/>
        <v>0</v>
      </c>
      <c r="K38" s="389">
        <f t="shared" si="2"/>
        <v>50000</v>
      </c>
      <c r="L38" s="391">
        <f t="shared" si="3"/>
        <v>50000</v>
      </c>
      <c r="N38" s="382"/>
      <c r="O38" s="317"/>
      <c r="P38" s="337"/>
      <c r="Q38" s="338"/>
      <c r="R38" s="338"/>
      <c r="S38" s="339"/>
      <c r="T38" s="340"/>
      <c r="U38" s="301"/>
    </row>
    <row r="39" spans="1:23">
      <c r="A39" s="383"/>
      <c r="B39" s="384">
        <v>1.4</v>
      </c>
      <c r="C39" s="385"/>
      <c r="D39" s="386" t="s">
        <v>172</v>
      </c>
      <c r="E39" s="388">
        <v>1</v>
      </c>
      <c r="F39" s="388" t="s">
        <v>171</v>
      </c>
      <c r="G39" s="388">
        <v>0</v>
      </c>
      <c r="H39" s="390">
        <v>0</v>
      </c>
      <c r="I39" s="390">
        <v>0</v>
      </c>
      <c r="J39" s="390">
        <f t="shared" si="1"/>
        <v>0</v>
      </c>
      <c r="K39" s="389">
        <f t="shared" si="2"/>
        <v>0</v>
      </c>
      <c r="L39" s="391">
        <f t="shared" si="3"/>
        <v>0</v>
      </c>
      <c r="N39" s="382"/>
      <c r="O39" s="317"/>
      <c r="P39" s="337"/>
      <c r="Q39" s="338"/>
      <c r="R39" s="338"/>
      <c r="S39" s="339"/>
      <c r="T39" s="340"/>
      <c r="U39" s="301"/>
    </row>
    <row r="40" spans="1:23" s="316" customFormat="1">
      <c r="A40" s="393"/>
      <c r="B40" s="394"/>
      <c r="C40" s="395"/>
      <c r="D40" s="396"/>
      <c r="E40" s="397"/>
      <c r="F40" s="398"/>
      <c r="G40" s="400"/>
      <c r="H40" s="399"/>
      <c r="I40" s="400"/>
      <c r="J40" s="399"/>
      <c r="K40" s="401"/>
      <c r="L40" s="402"/>
      <c r="N40" s="403"/>
      <c r="O40" s="404"/>
      <c r="P40" s="371"/>
      <c r="Q40" s="368"/>
      <c r="R40" s="537"/>
      <c r="S40" s="538"/>
      <c r="T40" s="368"/>
      <c r="U40" s="368"/>
    </row>
    <row r="41" spans="1:23" ht="21">
      <c r="A41" s="405">
        <v>2</v>
      </c>
      <c r="B41" s="406" t="s">
        <v>173</v>
      </c>
      <c r="C41" s="407"/>
      <c r="D41" s="408"/>
      <c r="E41" s="409"/>
      <c r="F41" s="410"/>
      <c r="G41" s="411"/>
      <c r="H41" s="411">
        <f>SUM(H43:H97)</f>
        <v>3342720</v>
      </c>
      <c r="I41" s="411"/>
      <c r="J41" s="411">
        <f>SUM(J43:J97)</f>
        <v>1459420</v>
      </c>
      <c r="K41" s="412"/>
      <c r="L41" s="413">
        <f>SUM(L43:L97)</f>
        <v>4802140</v>
      </c>
      <c r="N41" s="414"/>
      <c r="O41" s="316"/>
      <c r="P41" s="415"/>
      <c r="Q41" s="415"/>
      <c r="R41" s="416">
        <v>0</v>
      </c>
      <c r="S41" s="415"/>
      <c r="T41" s="415"/>
      <c r="U41" s="415"/>
      <c r="W41" s="417"/>
    </row>
    <row r="42" spans="1:23">
      <c r="A42" s="418"/>
      <c r="B42" s="419">
        <v>2.1</v>
      </c>
      <c r="C42" s="420"/>
      <c r="D42" s="421" t="s">
        <v>174</v>
      </c>
      <c r="E42" s="422"/>
      <c r="F42" s="423"/>
      <c r="G42" s="424"/>
      <c r="H42" s="424"/>
      <c r="I42" s="424"/>
      <c r="J42" s="425"/>
      <c r="K42" s="426"/>
      <c r="L42" s="427"/>
      <c r="N42" s="428"/>
      <c r="O42" s="316"/>
      <c r="P42" s="429"/>
      <c r="Q42" s="430"/>
      <c r="R42" s="539"/>
      <c r="S42" s="430"/>
      <c r="T42" s="415"/>
      <c r="U42" s="431"/>
    </row>
    <row r="43" spans="1:23">
      <c r="A43" s="383"/>
      <c r="B43" s="384"/>
      <c r="C43" s="385" t="s">
        <v>175</v>
      </c>
      <c r="D43" s="432" t="s">
        <v>176</v>
      </c>
      <c r="E43" s="388">
        <v>1410</v>
      </c>
      <c r="F43" s="433" t="s">
        <v>121</v>
      </c>
      <c r="G43" s="390">
        <f>S43</f>
        <v>240</v>
      </c>
      <c r="H43" s="390">
        <f>E43*G43</f>
        <v>338400</v>
      </c>
      <c r="I43" s="390">
        <v>120</v>
      </c>
      <c r="J43" s="389">
        <f>E43*I43</f>
        <v>169200</v>
      </c>
      <c r="K43" s="434">
        <f>I43+G43</f>
        <v>360</v>
      </c>
      <c r="L43" s="435">
        <f>H43+J43</f>
        <v>507600</v>
      </c>
      <c r="N43" s="428" t="str">
        <f>IF((E43*K43)=L43,"YES","CHECK")</f>
        <v>YES</v>
      </c>
      <c r="O43" s="316"/>
      <c r="P43" s="429"/>
      <c r="Q43" s="430"/>
      <c r="R43" s="539">
        <v>170</v>
      </c>
      <c r="S43" s="430">
        <f>ROUND(R43*$S$9,-1)</f>
        <v>240</v>
      </c>
      <c r="T43" s="415"/>
      <c r="U43" s="431"/>
    </row>
    <row r="44" spans="1:23">
      <c r="A44" s="383"/>
      <c r="B44" s="384"/>
      <c r="C44" s="385" t="s">
        <v>177</v>
      </c>
      <c r="D44" s="432" t="s">
        <v>178</v>
      </c>
      <c r="E44" s="388">
        <v>2820</v>
      </c>
      <c r="F44" s="433" t="s">
        <v>121</v>
      </c>
      <c r="G44" s="390">
        <f t="shared" ref="G44:G97" si="8">S44</f>
        <v>170</v>
      </c>
      <c r="H44" s="390">
        <f t="shared" ref="H44:H97" si="9">E44*G44</f>
        <v>479400</v>
      </c>
      <c r="I44" s="390">
        <v>90</v>
      </c>
      <c r="J44" s="389">
        <f t="shared" ref="J44:J97" si="10">E44*I44</f>
        <v>253800</v>
      </c>
      <c r="K44" s="434">
        <f t="shared" ref="K44:K97" si="11">I44+G44</f>
        <v>260</v>
      </c>
      <c r="L44" s="435">
        <f t="shared" ref="L44:L97" si="12">H44+J44</f>
        <v>733200</v>
      </c>
      <c r="N44" s="428" t="str">
        <f t="shared" ref="N44:N97" si="13">IF((E44*K44)=L44,"YES","CHECK")</f>
        <v>YES</v>
      </c>
      <c r="O44" s="316"/>
      <c r="P44" s="429"/>
      <c r="Q44" s="430"/>
      <c r="R44" s="539">
        <v>120</v>
      </c>
      <c r="S44" s="430">
        <f t="shared" ref="S44:S97" si="14">ROUND(R44*$S$9,-1)</f>
        <v>170</v>
      </c>
      <c r="T44" s="415"/>
      <c r="U44" s="431"/>
      <c r="W44" s="436"/>
    </row>
    <row r="45" spans="1:23">
      <c r="A45" s="383"/>
      <c r="B45" s="384"/>
      <c r="C45" s="385" t="s">
        <v>179</v>
      </c>
      <c r="D45" s="432" t="s">
        <v>180</v>
      </c>
      <c r="E45" s="388">
        <v>205</v>
      </c>
      <c r="F45" s="433" t="s">
        <v>121</v>
      </c>
      <c r="G45" s="390">
        <f t="shared" si="8"/>
        <v>360</v>
      </c>
      <c r="H45" s="390">
        <f t="shared" si="9"/>
        <v>73800</v>
      </c>
      <c r="I45" s="390">
        <v>170</v>
      </c>
      <c r="J45" s="389">
        <f t="shared" si="10"/>
        <v>34850</v>
      </c>
      <c r="K45" s="434">
        <f t="shared" si="11"/>
        <v>530</v>
      </c>
      <c r="L45" s="435">
        <f t="shared" si="12"/>
        <v>108650</v>
      </c>
      <c r="N45" s="428" t="str">
        <f t="shared" si="13"/>
        <v>YES</v>
      </c>
      <c r="O45" s="316"/>
      <c r="P45" s="429"/>
      <c r="Q45" s="430"/>
      <c r="R45" s="539">
        <v>260</v>
      </c>
      <c r="S45" s="430">
        <f t="shared" si="14"/>
        <v>360</v>
      </c>
      <c r="T45" s="415"/>
      <c r="U45" s="431"/>
    </row>
    <row r="46" spans="1:23">
      <c r="A46" s="383"/>
      <c r="B46" s="384"/>
      <c r="C46" s="385" t="s">
        <v>181</v>
      </c>
      <c r="D46" s="432" t="s">
        <v>182</v>
      </c>
      <c r="E46" s="388">
        <v>8</v>
      </c>
      <c r="F46" s="433" t="s">
        <v>121</v>
      </c>
      <c r="G46" s="390">
        <f t="shared" si="8"/>
        <v>520</v>
      </c>
      <c r="H46" s="390">
        <f t="shared" si="9"/>
        <v>4160</v>
      </c>
      <c r="I46" s="390">
        <v>280</v>
      </c>
      <c r="J46" s="389">
        <f t="shared" si="10"/>
        <v>2240</v>
      </c>
      <c r="K46" s="434">
        <f t="shared" si="11"/>
        <v>800</v>
      </c>
      <c r="L46" s="435">
        <f t="shared" si="12"/>
        <v>6400</v>
      </c>
      <c r="N46" s="428" t="str">
        <f t="shared" si="13"/>
        <v>YES</v>
      </c>
      <c r="O46" s="316"/>
      <c r="P46" s="429"/>
      <c r="Q46" s="430"/>
      <c r="R46" s="539">
        <v>370</v>
      </c>
      <c r="S46" s="430">
        <f t="shared" si="14"/>
        <v>520</v>
      </c>
      <c r="T46" s="415"/>
      <c r="U46" s="431"/>
    </row>
    <row r="47" spans="1:23">
      <c r="A47" s="383"/>
      <c r="B47" s="384"/>
      <c r="C47" s="385" t="s">
        <v>183</v>
      </c>
      <c r="D47" s="432" t="s">
        <v>184</v>
      </c>
      <c r="E47" s="388">
        <v>660</v>
      </c>
      <c r="F47" s="433" t="s">
        <v>185</v>
      </c>
      <c r="G47" s="390">
        <f t="shared" si="8"/>
        <v>130</v>
      </c>
      <c r="H47" s="390">
        <f t="shared" si="9"/>
        <v>85800</v>
      </c>
      <c r="I47" s="390">
        <v>70</v>
      </c>
      <c r="J47" s="389">
        <f t="shared" si="10"/>
        <v>46200</v>
      </c>
      <c r="K47" s="434">
        <f t="shared" si="11"/>
        <v>200</v>
      </c>
      <c r="L47" s="435">
        <f t="shared" si="12"/>
        <v>132000</v>
      </c>
      <c r="N47" s="428" t="str">
        <f t="shared" si="13"/>
        <v>YES</v>
      </c>
      <c r="O47" s="316"/>
      <c r="P47" s="429"/>
      <c r="Q47" s="430"/>
      <c r="R47" s="539">
        <v>90</v>
      </c>
      <c r="S47" s="430">
        <f t="shared" si="14"/>
        <v>130</v>
      </c>
      <c r="T47" s="415"/>
      <c r="U47" s="431"/>
    </row>
    <row r="48" spans="1:23">
      <c r="A48" s="383"/>
      <c r="B48" s="437">
        <v>2.2000000000000002</v>
      </c>
      <c r="C48" s="438"/>
      <c r="D48" s="439" t="s">
        <v>186</v>
      </c>
      <c r="E48" s="388"/>
      <c r="F48" s="433"/>
      <c r="G48" s="390"/>
      <c r="H48" s="390"/>
      <c r="I48" s="390"/>
      <c r="J48" s="389"/>
      <c r="K48" s="434"/>
      <c r="L48" s="435"/>
      <c r="N48" s="428" t="str">
        <f t="shared" si="13"/>
        <v>YES</v>
      </c>
      <c r="O48" s="316"/>
      <c r="P48" s="429"/>
      <c r="Q48" s="430"/>
      <c r="R48" s="539"/>
      <c r="S48" s="430">
        <f t="shared" si="14"/>
        <v>0</v>
      </c>
      <c r="T48" s="415"/>
      <c r="U48" s="431"/>
    </row>
    <row r="49" spans="1:21">
      <c r="A49" s="383"/>
      <c r="B49" s="384"/>
      <c r="C49" s="385" t="s">
        <v>187</v>
      </c>
      <c r="D49" s="432" t="s">
        <v>188</v>
      </c>
      <c r="E49" s="388">
        <v>588</v>
      </c>
      <c r="F49" s="433" t="s">
        <v>121</v>
      </c>
      <c r="G49" s="390">
        <f t="shared" si="8"/>
        <v>440</v>
      </c>
      <c r="H49" s="390">
        <f t="shared" si="9"/>
        <v>258720</v>
      </c>
      <c r="I49" s="390">
        <v>200</v>
      </c>
      <c r="J49" s="389">
        <f t="shared" si="10"/>
        <v>117600</v>
      </c>
      <c r="K49" s="434">
        <f t="shared" si="11"/>
        <v>640</v>
      </c>
      <c r="L49" s="435">
        <f t="shared" si="12"/>
        <v>376320</v>
      </c>
      <c r="N49" s="428" t="str">
        <f t="shared" si="13"/>
        <v>YES</v>
      </c>
      <c r="O49" s="316"/>
      <c r="P49" s="429"/>
      <c r="Q49" s="430"/>
      <c r="R49" s="539">
        <v>315</v>
      </c>
      <c r="S49" s="430">
        <f t="shared" si="14"/>
        <v>440</v>
      </c>
      <c r="T49" s="415"/>
      <c r="U49" s="431"/>
    </row>
    <row r="50" spans="1:21">
      <c r="A50" s="383"/>
      <c r="B50" s="384"/>
      <c r="C50" s="385" t="s">
        <v>189</v>
      </c>
      <c r="D50" s="432" t="s">
        <v>190</v>
      </c>
      <c r="E50" s="388">
        <v>75</v>
      </c>
      <c r="F50" s="433" t="s">
        <v>121</v>
      </c>
      <c r="G50" s="390">
        <f t="shared" si="8"/>
        <v>420</v>
      </c>
      <c r="H50" s="390">
        <f t="shared" si="9"/>
        <v>31500</v>
      </c>
      <c r="I50" s="390">
        <v>200</v>
      </c>
      <c r="J50" s="389">
        <f t="shared" si="10"/>
        <v>15000</v>
      </c>
      <c r="K50" s="434">
        <f t="shared" si="11"/>
        <v>620</v>
      </c>
      <c r="L50" s="435">
        <f t="shared" si="12"/>
        <v>46500</v>
      </c>
      <c r="N50" s="428" t="str">
        <f t="shared" si="13"/>
        <v>YES</v>
      </c>
      <c r="O50" s="316"/>
      <c r="P50" s="429"/>
      <c r="Q50" s="430"/>
      <c r="R50" s="539">
        <v>302</v>
      </c>
      <c r="S50" s="430">
        <f t="shared" si="14"/>
        <v>420</v>
      </c>
      <c r="T50" s="415"/>
      <c r="U50" s="431"/>
    </row>
    <row r="51" spans="1:21">
      <c r="A51" s="383"/>
      <c r="B51" s="384"/>
      <c r="C51" s="385" t="s">
        <v>191</v>
      </c>
      <c r="D51" s="432" t="s">
        <v>192</v>
      </c>
      <c r="E51" s="388">
        <v>55</v>
      </c>
      <c r="F51" s="433" t="s">
        <v>121</v>
      </c>
      <c r="G51" s="390">
        <f t="shared" si="8"/>
        <v>130</v>
      </c>
      <c r="H51" s="390">
        <f t="shared" si="9"/>
        <v>7150</v>
      </c>
      <c r="I51" s="390">
        <v>90</v>
      </c>
      <c r="J51" s="389">
        <f t="shared" si="10"/>
        <v>4950</v>
      </c>
      <c r="K51" s="434">
        <f t="shared" si="11"/>
        <v>220</v>
      </c>
      <c r="L51" s="435">
        <f t="shared" si="12"/>
        <v>12100</v>
      </c>
      <c r="N51" s="428" t="str">
        <f t="shared" si="13"/>
        <v>YES</v>
      </c>
      <c r="O51" s="316"/>
      <c r="P51" s="429"/>
      <c r="Q51" s="430"/>
      <c r="R51" s="539">
        <v>95</v>
      </c>
      <c r="S51" s="430">
        <f t="shared" si="14"/>
        <v>130</v>
      </c>
      <c r="T51" s="415"/>
      <c r="U51" s="431"/>
    </row>
    <row r="52" spans="1:21">
      <c r="A52" s="383"/>
      <c r="B52" s="384"/>
      <c r="C52" s="385" t="s">
        <v>193</v>
      </c>
      <c r="D52" s="432" t="s">
        <v>194</v>
      </c>
      <c r="E52" s="388">
        <v>215</v>
      </c>
      <c r="F52" s="433" t="s">
        <v>121</v>
      </c>
      <c r="G52" s="390">
        <f t="shared" si="8"/>
        <v>130</v>
      </c>
      <c r="H52" s="390">
        <f t="shared" si="9"/>
        <v>27950</v>
      </c>
      <c r="I52" s="390">
        <v>90</v>
      </c>
      <c r="J52" s="389">
        <f t="shared" si="10"/>
        <v>19350</v>
      </c>
      <c r="K52" s="434">
        <f t="shared" si="11"/>
        <v>220</v>
      </c>
      <c r="L52" s="435">
        <f t="shared" si="12"/>
        <v>47300</v>
      </c>
      <c r="N52" s="428" t="str">
        <f t="shared" si="13"/>
        <v>YES</v>
      </c>
      <c r="O52" s="316"/>
      <c r="P52" s="429"/>
      <c r="Q52" s="430"/>
      <c r="R52" s="539">
        <v>95</v>
      </c>
      <c r="S52" s="430">
        <f t="shared" si="14"/>
        <v>130</v>
      </c>
      <c r="T52" s="415"/>
      <c r="U52" s="431"/>
    </row>
    <row r="53" spans="1:21">
      <c r="A53" s="383"/>
      <c r="B53" s="437">
        <v>2.2999999999999998</v>
      </c>
      <c r="C53" s="438"/>
      <c r="D53" s="439" t="s">
        <v>195</v>
      </c>
      <c r="E53" s="388"/>
      <c r="F53" s="433"/>
      <c r="G53" s="390"/>
      <c r="H53" s="390"/>
      <c r="I53" s="390"/>
      <c r="J53" s="389"/>
      <c r="K53" s="434">
        <f t="shared" si="11"/>
        <v>0</v>
      </c>
      <c r="L53" s="435"/>
      <c r="N53" s="428" t="str">
        <f t="shared" si="13"/>
        <v>YES</v>
      </c>
      <c r="O53" s="316"/>
      <c r="P53" s="429"/>
      <c r="Q53" s="430"/>
      <c r="R53" s="539"/>
      <c r="S53" s="430">
        <f t="shared" si="14"/>
        <v>0</v>
      </c>
      <c r="T53" s="415"/>
      <c r="U53" s="431"/>
    </row>
    <row r="54" spans="1:21">
      <c r="A54" s="383"/>
      <c r="B54" s="384"/>
      <c r="C54" s="385" t="s">
        <v>196</v>
      </c>
      <c r="D54" s="432" t="s">
        <v>197</v>
      </c>
      <c r="E54" s="388">
        <v>430</v>
      </c>
      <c r="F54" s="433" t="s">
        <v>121</v>
      </c>
      <c r="G54" s="390">
        <f t="shared" si="8"/>
        <v>490</v>
      </c>
      <c r="H54" s="390">
        <f t="shared" si="9"/>
        <v>210700</v>
      </c>
      <c r="I54" s="390">
        <v>180</v>
      </c>
      <c r="J54" s="389">
        <f t="shared" si="10"/>
        <v>77400</v>
      </c>
      <c r="K54" s="434">
        <f t="shared" si="11"/>
        <v>670</v>
      </c>
      <c r="L54" s="435">
        <f t="shared" si="12"/>
        <v>288100</v>
      </c>
      <c r="N54" s="428" t="str">
        <f t="shared" si="13"/>
        <v>YES</v>
      </c>
      <c r="O54" s="316"/>
      <c r="P54" s="429"/>
      <c r="Q54" s="430"/>
      <c r="R54" s="539">
        <v>350</v>
      </c>
      <c r="S54" s="430">
        <f t="shared" si="14"/>
        <v>490</v>
      </c>
      <c r="T54" s="415"/>
      <c r="U54" s="431"/>
    </row>
    <row r="55" spans="1:21" s="549" customFormat="1" ht="37.5">
      <c r="A55" s="542"/>
      <c r="B55" s="543"/>
      <c r="C55" s="544" t="s">
        <v>198</v>
      </c>
      <c r="D55" s="545" t="s">
        <v>199</v>
      </c>
      <c r="E55" s="546">
        <v>71</v>
      </c>
      <c r="F55" s="547" t="s">
        <v>121</v>
      </c>
      <c r="G55" s="390">
        <f t="shared" si="8"/>
        <v>520</v>
      </c>
      <c r="H55" s="390">
        <f t="shared" si="9"/>
        <v>36920</v>
      </c>
      <c r="I55" s="390">
        <v>180</v>
      </c>
      <c r="J55" s="390">
        <f t="shared" si="10"/>
        <v>12780</v>
      </c>
      <c r="K55" s="548">
        <f t="shared" si="11"/>
        <v>700</v>
      </c>
      <c r="L55" s="435">
        <f t="shared" si="12"/>
        <v>49700</v>
      </c>
      <c r="N55" s="550" t="str">
        <f t="shared" si="13"/>
        <v>YES</v>
      </c>
      <c r="O55" s="551"/>
      <c r="P55" s="429"/>
      <c r="Q55" s="430"/>
      <c r="R55" s="539">
        <v>370</v>
      </c>
      <c r="S55" s="430">
        <f t="shared" si="14"/>
        <v>520</v>
      </c>
      <c r="T55" s="430"/>
      <c r="U55" s="431"/>
    </row>
    <row r="56" spans="1:21">
      <c r="A56" s="383"/>
      <c r="B56" s="384"/>
      <c r="C56" s="385" t="s">
        <v>200</v>
      </c>
      <c r="D56" s="432" t="s">
        <v>201</v>
      </c>
      <c r="E56" s="388">
        <v>145</v>
      </c>
      <c r="F56" s="433" t="s">
        <v>121</v>
      </c>
      <c r="G56" s="390">
        <f t="shared" si="8"/>
        <v>490</v>
      </c>
      <c r="H56" s="390">
        <f t="shared" si="9"/>
        <v>71050</v>
      </c>
      <c r="I56" s="390">
        <v>180</v>
      </c>
      <c r="J56" s="389">
        <f t="shared" si="10"/>
        <v>26100</v>
      </c>
      <c r="K56" s="434">
        <f t="shared" si="11"/>
        <v>670</v>
      </c>
      <c r="L56" s="435">
        <f t="shared" si="12"/>
        <v>97150</v>
      </c>
      <c r="N56" s="428" t="str">
        <f t="shared" si="13"/>
        <v>YES</v>
      </c>
      <c r="O56" s="316"/>
      <c r="P56" s="429"/>
      <c r="Q56" s="430"/>
      <c r="R56" s="539">
        <v>350</v>
      </c>
      <c r="S56" s="430">
        <f t="shared" si="14"/>
        <v>490</v>
      </c>
      <c r="T56" s="415"/>
      <c r="U56" s="431"/>
    </row>
    <row r="57" spans="1:21" ht="37.5">
      <c r="A57" s="383"/>
      <c r="B57" s="384"/>
      <c r="C57" s="385" t="s">
        <v>202</v>
      </c>
      <c r="D57" s="432" t="s">
        <v>203</v>
      </c>
      <c r="E57" s="388">
        <v>45</v>
      </c>
      <c r="F57" s="433" t="s">
        <v>121</v>
      </c>
      <c r="G57" s="390">
        <f t="shared" si="8"/>
        <v>400</v>
      </c>
      <c r="H57" s="390">
        <f t="shared" si="9"/>
        <v>18000</v>
      </c>
      <c r="I57" s="390">
        <v>220</v>
      </c>
      <c r="J57" s="389">
        <f t="shared" si="10"/>
        <v>9900</v>
      </c>
      <c r="K57" s="434">
        <f t="shared" si="11"/>
        <v>620</v>
      </c>
      <c r="L57" s="435">
        <f t="shared" si="12"/>
        <v>27900</v>
      </c>
      <c r="N57" s="428" t="str">
        <f t="shared" si="13"/>
        <v>YES</v>
      </c>
      <c r="O57" s="316"/>
      <c r="P57" s="429"/>
      <c r="Q57" s="430"/>
      <c r="R57" s="539">
        <v>285</v>
      </c>
      <c r="S57" s="430">
        <f t="shared" si="14"/>
        <v>400</v>
      </c>
      <c r="T57" s="415"/>
      <c r="U57" s="431"/>
    </row>
    <row r="58" spans="1:21" ht="37.5">
      <c r="A58" s="383"/>
      <c r="B58" s="384"/>
      <c r="C58" s="385" t="s">
        <v>204</v>
      </c>
      <c r="D58" s="432" t="s">
        <v>205</v>
      </c>
      <c r="E58" s="388">
        <v>250</v>
      </c>
      <c r="F58" s="433" t="s">
        <v>121</v>
      </c>
      <c r="G58" s="390">
        <f t="shared" si="8"/>
        <v>420</v>
      </c>
      <c r="H58" s="390">
        <f t="shared" si="9"/>
        <v>105000</v>
      </c>
      <c r="I58" s="390">
        <v>275</v>
      </c>
      <c r="J58" s="389">
        <f t="shared" si="10"/>
        <v>68750</v>
      </c>
      <c r="K58" s="434">
        <f t="shared" si="11"/>
        <v>695</v>
      </c>
      <c r="L58" s="435">
        <f t="shared" si="12"/>
        <v>173750</v>
      </c>
      <c r="N58" s="428" t="str">
        <f t="shared" si="13"/>
        <v>YES</v>
      </c>
      <c r="O58" s="316"/>
      <c r="P58" s="429"/>
      <c r="Q58" s="430"/>
      <c r="R58" s="539">
        <v>300</v>
      </c>
      <c r="S58" s="430">
        <f t="shared" si="14"/>
        <v>420</v>
      </c>
      <c r="T58" s="415"/>
      <c r="U58" s="431"/>
    </row>
    <row r="59" spans="1:21">
      <c r="A59" s="383"/>
      <c r="B59" s="437">
        <v>2.4</v>
      </c>
      <c r="C59" s="438"/>
      <c r="D59" s="439" t="s">
        <v>206</v>
      </c>
      <c r="E59" s="388"/>
      <c r="F59" s="440"/>
      <c r="G59" s="390"/>
      <c r="H59" s="390"/>
      <c r="I59" s="390"/>
      <c r="J59" s="389"/>
      <c r="K59" s="434">
        <f t="shared" si="11"/>
        <v>0</v>
      </c>
      <c r="L59" s="435"/>
      <c r="N59" s="428" t="str">
        <f t="shared" si="13"/>
        <v>YES</v>
      </c>
      <c r="O59" s="441"/>
      <c r="P59" s="429"/>
      <c r="Q59" s="430"/>
      <c r="R59" s="539"/>
      <c r="S59" s="430">
        <f t="shared" si="14"/>
        <v>0</v>
      </c>
      <c r="T59" s="415"/>
      <c r="U59" s="431"/>
    </row>
    <row r="60" spans="1:21" s="549" customFormat="1" ht="37.5">
      <c r="A60" s="542"/>
      <c r="B60" s="543"/>
      <c r="C60" s="544" t="s">
        <v>207</v>
      </c>
      <c r="D60" s="545" t="s">
        <v>208</v>
      </c>
      <c r="E60" s="546">
        <v>960</v>
      </c>
      <c r="F60" s="547" t="s">
        <v>97</v>
      </c>
      <c r="G60" s="390">
        <f t="shared" si="8"/>
        <v>250</v>
      </c>
      <c r="H60" s="390">
        <f t="shared" si="9"/>
        <v>240000</v>
      </c>
      <c r="I60" s="390">
        <v>280</v>
      </c>
      <c r="J60" s="390">
        <f t="shared" si="10"/>
        <v>268800</v>
      </c>
      <c r="K60" s="548">
        <f t="shared" si="11"/>
        <v>530</v>
      </c>
      <c r="L60" s="435">
        <f>K60*E60</f>
        <v>508800</v>
      </c>
      <c r="N60" s="550" t="str">
        <f t="shared" si="13"/>
        <v>YES</v>
      </c>
      <c r="O60" s="551"/>
      <c r="P60" s="429"/>
      <c r="Q60" s="430"/>
      <c r="R60" s="539">
        <v>180</v>
      </c>
      <c r="S60" s="430">
        <f t="shared" si="14"/>
        <v>250</v>
      </c>
      <c r="T60" s="430"/>
      <c r="U60" s="431"/>
    </row>
    <row r="61" spans="1:21">
      <c r="A61" s="383"/>
      <c r="B61" s="384"/>
      <c r="C61" s="385" t="s">
        <v>209</v>
      </c>
      <c r="D61" s="432" t="s">
        <v>210</v>
      </c>
      <c r="E61" s="388">
        <v>145</v>
      </c>
      <c r="F61" s="433" t="s">
        <v>211</v>
      </c>
      <c r="G61" s="390">
        <f>S61</f>
        <v>90</v>
      </c>
      <c r="H61" s="390">
        <f t="shared" si="9"/>
        <v>13050</v>
      </c>
      <c r="I61" s="390"/>
      <c r="J61" s="390" t="s">
        <v>212</v>
      </c>
      <c r="K61" s="434">
        <f t="shared" si="11"/>
        <v>90</v>
      </c>
      <c r="L61" s="435">
        <f t="shared" ref="L61:L68" si="15">K61*E61</f>
        <v>13050</v>
      </c>
      <c r="N61" s="428" t="str">
        <f t="shared" si="13"/>
        <v>YES</v>
      </c>
      <c r="O61" s="316"/>
      <c r="P61" s="429"/>
      <c r="Q61" s="430"/>
      <c r="R61" s="539">
        <v>67</v>
      </c>
      <c r="S61" s="430">
        <f t="shared" si="14"/>
        <v>90</v>
      </c>
      <c r="T61" s="415"/>
      <c r="U61" s="431"/>
    </row>
    <row r="62" spans="1:21" s="549" customFormat="1">
      <c r="A62" s="542"/>
      <c r="B62" s="543"/>
      <c r="C62" s="544" t="s">
        <v>213</v>
      </c>
      <c r="D62" s="545" t="s">
        <v>214</v>
      </c>
      <c r="E62" s="546">
        <v>104</v>
      </c>
      <c r="F62" s="547" t="s">
        <v>211</v>
      </c>
      <c r="G62" s="390">
        <f t="shared" si="8"/>
        <v>90</v>
      </c>
      <c r="H62" s="390">
        <f t="shared" si="9"/>
        <v>9360</v>
      </c>
      <c r="I62" s="390"/>
      <c r="J62" s="390" t="s">
        <v>212</v>
      </c>
      <c r="K62" s="548">
        <f t="shared" si="11"/>
        <v>90</v>
      </c>
      <c r="L62" s="435">
        <f t="shared" si="15"/>
        <v>9360</v>
      </c>
      <c r="N62" s="550" t="str">
        <f t="shared" si="13"/>
        <v>YES</v>
      </c>
      <c r="O62" s="551"/>
      <c r="P62" s="429"/>
      <c r="Q62" s="430"/>
      <c r="R62" s="539">
        <v>67</v>
      </c>
      <c r="S62" s="430">
        <f t="shared" si="14"/>
        <v>90</v>
      </c>
      <c r="T62" s="430"/>
      <c r="U62" s="431"/>
    </row>
    <row r="63" spans="1:21">
      <c r="A63" s="383"/>
      <c r="B63" s="384"/>
      <c r="C63" s="544" t="s">
        <v>215</v>
      </c>
      <c r="D63" s="432" t="s">
        <v>216</v>
      </c>
      <c r="E63" s="388">
        <v>4</v>
      </c>
      <c r="F63" s="433" t="s">
        <v>211</v>
      </c>
      <c r="G63" s="390">
        <f t="shared" si="8"/>
        <v>90</v>
      </c>
      <c r="H63" s="390">
        <f t="shared" si="9"/>
        <v>360</v>
      </c>
      <c r="I63" s="390"/>
      <c r="J63" s="390" t="s">
        <v>212</v>
      </c>
      <c r="K63" s="434">
        <f t="shared" si="11"/>
        <v>90</v>
      </c>
      <c r="L63" s="435">
        <f t="shared" si="15"/>
        <v>360</v>
      </c>
      <c r="N63" s="428" t="str">
        <f t="shared" si="13"/>
        <v>YES</v>
      </c>
      <c r="O63" s="316"/>
      <c r="P63" s="429"/>
      <c r="Q63" s="430"/>
      <c r="R63" s="539">
        <v>67</v>
      </c>
      <c r="S63" s="430">
        <f t="shared" si="14"/>
        <v>90</v>
      </c>
      <c r="T63" s="415"/>
      <c r="U63" s="431"/>
    </row>
    <row r="64" spans="1:21">
      <c r="A64" s="383"/>
      <c r="B64" s="384"/>
      <c r="C64" s="385" t="s">
        <v>217</v>
      </c>
      <c r="D64" s="432" t="s">
        <v>218</v>
      </c>
      <c r="E64" s="388">
        <v>2</v>
      </c>
      <c r="F64" s="433" t="s">
        <v>211</v>
      </c>
      <c r="G64" s="390">
        <f t="shared" si="8"/>
        <v>90</v>
      </c>
      <c r="H64" s="390">
        <f t="shared" si="9"/>
        <v>180</v>
      </c>
      <c r="I64" s="390"/>
      <c r="J64" s="390" t="s">
        <v>212</v>
      </c>
      <c r="K64" s="434">
        <f t="shared" si="11"/>
        <v>90</v>
      </c>
      <c r="L64" s="435">
        <f t="shared" si="15"/>
        <v>180</v>
      </c>
      <c r="N64" s="428" t="str">
        <f t="shared" si="13"/>
        <v>YES</v>
      </c>
      <c r="O64" s="316"/>
      <c r="P64" s="429"/>
      <c r="Q64" s="430"/>
      <c r="R64" s="539">
        <v>67</v>
      </c>
      <c r="S64" s="430">
        <f t="shared" si="14"/>
        <v>90</v>
      </c>
      <c r="T64" s="415"/>
      <c r="U64" s="431"/>
    </row>
    <row r="65" spans="1:21">
      <c r="A65" s="383"/>
      <c r="B65" s="384"/>
      <c r="C65" s="544" t="s">
        <v>219</v>
      </c>
      <c r="D65" s="432" t="s">
        <v>220</v>
      </c>
      <c r="E65" s="388">
        <v>52</v>
      </c>
      <c r="F65" s="433" t="s">
        <v>211</v>
      </c>
      <c r="G65" s="390">
        <f t="shared" si="8"/>
        <v>90</v>
      </c>
      <c r="H65" s="390">
        <f t="shared" si="9"/>
        <v>4680</v>
      </c>
      <c r="I65" s="390"/>
      <c r="J65" s="390" t="s">
        <v>212</v>
      </c>
      <c r="K65" s="434">
        <f t="shared" si="11"/>
        <v>90</v>
      </c>
      <c r="L65" s="435">
        <f t="shared" si="15"/>
        <v>4680</v>
      </c>
      <c r="N65" s="428" t="str">
        <f t="shared" si="13"/>
        <v>YES</v>
      </c>
      <c r="O65" s="316"/>
      <c r="P65" s="429"/>
      <c r="Q65" s="430"/>
      <c r="R65" s="539">
        <v>67</v>
      </c>
      <c r="S65" s="430">
        <f t="shared" si="14"/>
        <v>90</v>
      </c>
      <c r="T65" s="415"/>
      <c r="U65" s="431"/>
    </row>
    <row r="66" spans="1:21">
      <c r="A66" s="383"/>
      <c r="B66" s="384"/>
      <c r="C66" s="544" t="s">
        <v>221</v>
      </c>
      <c r="D66" s="432" t="s">
        <v>222</v>
      </c>
      <c r="E66" s="388">
        <v>35</v>
      </c>
      <c r="F66" s="433" t="s">
        <v>223</v>
      </c>
      <c r="G66" s="390">
        <f t="shared" si="8"/>
        <v>380</v>
      </c>
      <c r="H66" s="390">
        <f t="shared" si="9"/>
        <v>13300</v>
      </c>
      <c r="I66" s="390"/>
      <c r="J66" s="390" t="s">
        <v>212</v>
      </c>
      <c r="K66" s="434">
        <f t="shared" si="11"/>
        <v>380</v>
      </c>
      <c r="L66" s="435">
        <f t="shared" si="15"/>
        <v>13300</v>
      </c>
      <c r="N66" s="428" t="str">
        <f t="shared" si="13"/>
        <v>YES</v>
      </c>
      <c r="O66" s="316"/>
      <c r="P66" s="429"/>
      <c r="Q66" s="430"/>
      <c r="R66" s="539">
        <v>270</v>
      </c>
      <c r="S66" s="430">
        <f t="shared" si="14"/>
        <v>380</v>
      </c>
      <c r="T66" s="415"/>
      <c r="U66" s="431"/>
    </row>
    <row r="67" spans="1:21">
      <c r="A67" s="383"/>
      <c r="B67" s="384"/>
      <c r="C67" s="385" t="s">
        <v>224</v>
      </c>
      <c r="D67" s="432" t="s">
        <v>225</v>
      </c>
      <c r="E67" s="388">
        <v>4360</v>
      </c>
      <c r="F67" s="433" t="s">
        <v>223</v>
      </c>
      <c r="G67" s="390">
        <f t="shared" si="8"/>
        <v>10</v>
      </c>
      <c r="H67" s="390">
        <f t="shared" si="9"/>
        <v>43600</v>
      </c>
      <c r="I67" s="390"/>
      <c r="J67" s="390" t="s">
        <v>212</v>
      </c>
      <c r="K67" s="434">
        <f t="shared" si="11"/>
        <v>10</v>
      </c>
      <c r="L67" s="435">
        <f t="shared" si="15"/>
        <v>43600</v>
      </c>
      <c r="N67" s="428" t="str">
        <f t="shared" si="13"/>
        <v>YES</v>
      </c>
      <c r="O67" s="316"/>
      <c r="P67" s="429"/>
      <c r="Q67" s="430"/>
      <c r="R67" s="539">
        <v>10</v>
      </c>
      <c r="S67" s="430">
        <f t="shared" si="14"/>
        <v>10</v>
      </c>
      <c r="T67" s="415"/>
      <c r="U67" s="431"/>
    </row>
    <row r="68" spans="1:21">
      <c r="A68" s="383"/>
      <c r="B68" s="384"/>
      <c r="C68" s="544" t="s">
        <v>226</v>
      </c>
      <c r="D68" s="432" t="s">
        <v>227</v>
      </c>
      <c r="E68" s="388">
        <v>350</v>
      </c>
      <c r="F68" s="433" t="s">
        <v>223</v>
      </c>
      <c r="G68" s="390">
        <f t="shared" si="8"/>
        <v>10</v>
      </c>
      <c r="H68" s="390">
        <f t="shared" si="9"/>
        <v>3500</v>
      </c>
      <c r="I68" s="390"/>
      <c r="J68" s="390" t="s">
        <v>212</v>
      </c>
      <c r="K68" s="434">
        <f t="shared" si="11"/>
        <v>10</v>
      </c>
      <c r="L68" s="435">
        <f t="shared" si="15"/>
        <v>3500</v>
      </c>
      <c r="N68" s="428" t="str">
        <f t="shared" si="13"/>
        <v>YES</v>
      </c>
      <c r="O68" s="316"/>
      <c r="P68" s="429"/>
      <c r="Q68" s="430"/>
      <c r="R68" s="539">
        <v>8</v>
      </c>
      <c r="S68" s="430">
        <f t="shared" si="14"/>
        <v>10</v>
      </c>
      <c r="T68" s="415"/>
      <c r="U68" s="431"/>
    </row>
    <row r="69" spans="1:21">
      <c r="A69" s="383"/>
      <c r="B69" s="384"/>
      <c r="C69" s="385" t="s">
        <v>228</v>
      </c>
      <c r="D69" s="432" t="s">
        <v>229</v>
      </c>
      <c r="E69" s="388"/>
      <c r="F69" s="433"/>
      <c r="G69" s="390"/>
      <c r="H69" s="390"/>
      <c r="I69" s="390"/>
      <c r="J69" s="389"/>
      <c r="K69" s="434">
        <f t="shared" si="11"/>
        <v>0</v>
      </c>
      <c r="L69" s="435"/>
      <c r="N69" s="428" t="str">
        <f t="shared" si="13"/>
        <v>YES</v>
      </c>
      <c r="O69" s="316"/>
      <c r="P69" s="429"/>
      <c r="Q69" s="430"/>
      <c r="R69" s="539"/>
      <c r="S69" s="430">
        <f t="shared" si="14"/>
        <v>0</v>
      </c>
      <c r="T69" s="415"/>
      <c r="U69" s="431"/>
    </row>
    <row r="70" spans="1:21">
      <c r="A70" s="383"/>
      <c r="B70" s="384"/>
      <c r="C70" s="385"/>
      <c r="D70" s="432" t="s">
        <v>230</v>
      </c>
      <c r="E70" s="388">
        <v>170</v>
      </c>
      <c r="F70" s="433" t="s">
        <v>185</v>
      </c>
      <c r="G70" s="390">
        <f t="shared" si="8"/>
        <v>480</v>
      </c>
      <c r="H70" s="390">
        <f t="shared" si="9"/>
        <v>81600</v>
      </c>
      <c r="I70" s="390">
        <v>80</v>
      </c>
      <c r="J70" s="389">
        <f t="shared" si="10"/>
        <v>13600</v>
      </c>
      <c r="K70" s="434">
        <f t="shared" si="11"/>
        <v>560</v>
      </c>
      <c r="L70" s="435">
        <f t="shared" si="12"/>
        <v>95200</v>
      </c>
      <c r="N70" s="428" t="str">
        <f t="shared" si="13"/>
        <v>YES</v>
      </c>
      <c r="O70" s="316"/>
      <c r="P70" s="429"/>
      <c r="Q70" s="430"/>
      <c r="R70" s="539">
        <v>340</v>
      </c>
      <c r="S70" s="430">
        <f t="shared" si="14"/>
        <v>480</v>
      </c>
      <c r="T70" s="415"/>
      <c r="U70" s="431"/>
    </row>
    <row r="71" spans="1:21">
      <c r="A71" s="383"/>
      <c r="B71" s="384"/>
      <c r="C71" s="385"/>
      <c r="D71" s="432" t="s">
        <v>231</v>
      </c>
      <c r="E71" s="388">
        <v>170</v>
      </c>
      <c r="F71" s="433" t="s">
        <v>185</v>
      </c>
      <c r="G71" s="390">
        <f t="shared" si="8"/>
        <v>620</v>
      </c>
      <c r="H71" s="390">
        <f t="shared" si="9"/>
        <v>105400</v>
      </c>
      <c r="I71" s="390">
        <v>80</v>
      </c>
      <c r="J71" s="389">
        <f t="shared" si="10"/>
        <v>13600</v>
      </c>
      <c r="K71" s="434">
        <f t="shared" si="11"/>
        <v>700</v>
      </c>
      <c r="L71" s="435">
        <f t="shared" si="12"/>
        <v>119000</v>
      </c>
      <c r="N71" s="428" t="str">
        <f t="shared" si="13"/>
        <v>YES</v>
      </c>
      <c r="O71" s="316"/>
      <c r="P71" s="429"/>
      <c r="Q71" s="430"/>
      <c r="R71" s="539">
        <v>440</v>
      </c>
      <c r="S71" s="430">
        <f t="shared" si="14"/>
        <v>620</v>
      </c>
      <c r="T71" s="415"/>
      <c r="U71" s="431"/>
    </row>
    <row r="72" spans="1:21">
      <c r="A72" s="383"/>
      <c r="B72" s="384"/>
      <c r="C72" s="385" t="s">
        <v>232</v>
      </c>
      <c r="D72" s="432" t="s">
        <v>233</v>
      </c>
      <c r="E72" s="388"/>
      <c r="F72" s="433"/>
      <c r="G72" s="390"/>
      <c r="H72" s="390"/>
      <c r="I72" s="390"/>
      <c r="J72" s="389"/>
      <c r="K72" s="434">
        <f t="shared" si="11"/>
        <v>0</v>
      </c>
      <c r="L72" s="435"/>
      <c r="N72" s="428" t="str">
        <f t="shared" si="13"/>
        <v>YES</v>
      </c>
      <c r="O72" s="316"/>
      <c r="P72" s="429"/>
      <c r="Q72" s="430"/>
      <c r="R72" s="539"/>
      <c r="S72" s="430">
        <f t="shared" si="14"/>
        <v>0</v>
      </c>
      <c r="T72" s="415"/>
      <c r="U72" s="431"/>
    </row>
    <row r="73" spans="1:21">
      <c r="A73" s="383"/>
      <c r="B73" s="384"/>
      <c r="C73" s="385"/>
      <c r="D73" s="432" t="s">
        <v>234</v>
      </c>
      <c r="E73" s="388">
        <v>150</v>
      </c>
      <c r="F73" s="433" t="s">
        <v>185</v>
      </c>
      <c r="G73" s="390">
        <f t="shared" si="8"/>
        <v>490</v>
      </c>
      <c r="H73" s="390">
        <f t="shared" si="9"/>
        <v>73500</v>
      </c>
      <c r="I73" s="390">
        <v>140</v>
      </c>
      <c r="J73" s="389">
        <f t="shared" si="10"/>
        <v>21000</v>
      </c>
      <c r="K73" s="434">
        <f t="shared" si="11"/>
        <v>630</v>
      </c>
      <c r="L73" s="435">
        <f t="shared" si="12"/>
        <v>94500</v>
      </c>
      <c r="N73" s="428" t="str">
        <f t="shared" si="13"/>
        <v>YES</v>
      </c>
      <c r="O73" s="316"/>
      <c r="P73" s="429"/>
      <c r="Q73" s="430"/>
      <c r="R73" s="539">
        <v>350</v>
      </c>
      <c r="S73" s="430">
        <f t="shared" si="14"/>
        <v>490</v>
      </c>
      <c r="T73" s="415"/>
      <c r="U73" s="431"/>
    </row>
    <row r="74" spans="1:21">
      <c r="A74" s="383"/>
      <c r="B74" s="384"/>
      <c r="C74" s="385"/>
      <c r="D74" s="432" t="s">
        <v>235</v>
      </c>
      <c r="E74" s="388">
        <v>24</v>
      </c>
      <c r="F74" s="433" t="s">
        <v>185</v>
      </c>
      <c r="G74" s="390">
        <f t="shared" si="8"/>
        <v>490</v>
      </c>
      <c r="H74" s="390">
        <f t="shared" si="9"/>
        <v>11760</v>
      </c>
      <c r="I74" s="390">
        <v>80</v>
      </c>
      <c r="J74" s="389">
        <f t="shared" si="10"/>
        <v>1920</v>
      </c>
      <c r="K74" s="434">
        <f t="shared" si="11"/>
        <v>570</v>
      </c>
      <c r="L74" s="435">
        <f t="shared" si="12"/>
        <v>13680</v>
      </c>
      <c r="N74" s="428" t="str">
        <f t="shared" si="13"/>
        <v>YES</v>
      </c>
      <c r="O74" s="316"/>
      <c r="P74" s="429"/>
      <c r="Q74" s="430"/>
      <c r="R74" s="539">
        <v>350</v>
      </c>
      <c r="S74" s="430">
        <f t="shared" si="14"/>
        <v>490</v>
      </c>
      <c r="T74" s="415"/>
      <c r="U74" s="431"/>
    </row>
    <row r="75" spans="1:21">
      <c r="A75" s="383"/>
      <c r="B75" s="384"/>
      <c r="C75" s="385"/>
      <c r="D75" s="432" t="s">
        <v>236</v>
      </c>
      <c r="E75" s="388">
        <v>12</v>
      </c>
      <c r="F75" s="433" t="s">
        <v>185</v>
      </c>
      <c r="G75" s="390">
        <f t="shared" si="8"/>
        <v>380</v>
      </c>
      <c r="H75" s="390">
        <f t="shared" si="9"/>
        <v>4560</v>
      </c>
      <c r="I75" s="390">
        <v>60</v>
      </c>
      <c r="J75" s="389">
        <f t="shared" si="10"/>
        <v>720</v>
      </c>
      <c r="K75" s="434">
        <f t="shared" si="11"/>
        <v>440</v>
      </c>
      <c r="L75" s="435">
        <f t="shared" si="12"/>
        <v>5280</v>
      </c>
      <c r="N75" s="428" t="str">
        <f t="shared" si="13"/>
        <v>YES</v>
      </c>
      <c r="O75" s="316"/>
      <c r="P75" s="429"/>
      <c r="Q75" s="430"/>
      <c r="R75" s="539">
        <v>270</v>
      </c>
      <c r="S75" s="430">
        <f t="shared" si="14"/>
        <v>380</v>
      </c>
      <c r="T75" s="415"/>
      <c r="U75" s="431"/>
    </row>
    <row r="76" spans="1:21">
      <c r="A76" s="383"/>
      <c r="B76" s="437">
        <v>2.5</v>
      </c>
      <c r="C76" s="438"/>
      <c r="D76" s="439" t="s">
        <v>237</v>
      </c>
      <c r="E76" s="388"/>
      <c r="F76" s="433"/>
      <c r="G76" s="390"/>
      <c r="H76" s="390"/>
      <c r="I76" s="390"/>
      <c r="J76" s="389"/>
      <c r="K76" s="434">
        <f t="shared" si="11"/>
        <v>0</v>
      </c>
      <c r="L76" s="435"/>
      <c r="N76" s="428" t="str">
        <f t="shared" si="13"/>
        <v>YES</v>
      </c>
      <c r="O76" s="316"/>
      <c r="P76" s="429"/>
      <c r="Q76" s="430"/>
      <c r="R76" s="539"/>
      <c r="S76" s="430">
        <f t="shared" si="14"/>
        <v>0</v>
      </c>
      <c r="T76" s="415"/>
      <c r="U76" s="431"/>
    </row>
    <row r="77" spans="1:21">
      <c r="A77" s="383"/>
      <c r="B77" s="384"/>
      <c r="C77" s="385" t="s">
        <v>238</v>
      </c>
      <c r="D77" s="444" t="s">
        <v>239</v>
      </c>
      <c r="E77" s="388">
        <v>1</v>
      </c>
      <c r="F77" s="433" t="s">
        <v>240</v>
      </c>
      <c r="G77" s="390">
        <f t="shared" si="8"/>
        <v>23800</v>
      </c>
      <c r="H77" s="390">
        <f t="shared" si="9"/>
        <v>23800</v>
      </c>
      <c r="I77" s="390">
        <v>4500</v>
      </c>
      <c r="J77" s="389">
        <f t="shared" si="10"/>
        <v>4500</v>
      </c>
      <c r="K77" s="434">
        <f t="shared" si="11"/>
        <v>28300</v>
      </c>
      <c r="L77" s="435">
        <f t="shared" si="12"/>
        <v>28300</v>
      </c>
      <c r="N77" s="428" t="str">
        <f t="shared" si="13"/>
        <v>YES</v>
      </c>
      <c r="O77" s="316"/>
      <c r="P77" s="429"/>
      <c r="Q77" s="430"/>
      <c r="R77" s="539">
        <v>17000</v>
      </c>
      <c r="S77" s="430">
        <f t="shared" si="14"/>
        <v>23800</v>
      </c>
      <c r="T77" s="415"/>
      <c r="U77" s="431"/>
    </row>
    <row r="78" spans="1:21">
      <c r="A78" s="383"/>
      <c r="B78" s="384"/>
      <c r="C78" s="385" t="s">
        <v>241</v>
      </c>
      <c r="D78" s="444" t="s">
        <v>242</v>
      </c>
      <c r="E78" s="388">
        <v>40</v>
      </c>
      <c r="F78" s="433" t="s">
        <v>240</v>
      </c>
      <c r="G78" s="390">
        <f t="shared" si="8"/>
        <v>3990</v>
      </c>
      <c r="H78" s="390">
        <f t="shared" si="9"/>
        <v>159600</v>
      </c>
      <c r="I78" s="390">
        <v>850</v>
      </c>
      <c r="J78" s="389">
        <f t="shared" si="10"/>
        <v>34000</v>
      </c>
      <c r="K78" s="434">
        <f t="shared" si="11"/>
        <v>4840</v>
      </c>
      <c r="L78" s="435">
        <f t="shared" si="12"/>
        <v>193600</v>
      </c>
      <c r="N78" s="428" t="str">
        <f t="shared" si="13"/>
        <v>YES</v>
      </c>
      <c r="O78" s="316"/>
      <c r="P78" s="429"/>
      <c r="Q78" s="430"/>
      <c r="R78" s="539">
        <v>2850</v>
      </c>
      <c r="S78" s="430">
        <f t="shared" si="14"/>
        <v>3990</v>
      </c>
      <c r="T78" s="415"/>
      <c r="U78" s="431"/>
    </row>
    <row r="79" spans="1:21">
      <c r="A79" s="383"/>
      <c r="B79" s="384"/>
      <c r="C79" s="385" t="s">
        <v>243</v>
      </c>
      <c r="D79" s="444" t="s">
        <v>244</v>
      </c>
      <c r="E79" s="388">
        <v>20</v>
      </c>
      <c r="F79" s="433" t="s">
        <v>240</v>
      </c>
      <c r="G79" s="390">
        <f t="shared" si="8"/>
        <v>1960</v>
      </c>
      <c r="H79" s="390">
        <f t="shared" si="9"/>
        <v>39200</v>
      </c>
      <c r="I79" s="390">
        <v>700</v>
      </c>
      <c r="J79" s="389">
        <f t="shared" si="10"/>
        <v>14000</v>
      </c>
      <c r="K79" s="434">
        <f t="shared" si="11"/>
        <v>2660</v>
      </c>
      <c r="L79" s="435">
        <f t="shared" si="12"/>
        <v>53200</v>
      </c>
      <c r="N79" s="428" t="str">
        <f t="shared" si="13"/>
        <v>YES</v>
      </c>
      <c r="O79" s="316"/>
      <c r="P79" s="429"/>
      <c r="Q79" s="430"/>
      <c r="R79" s="539">
        <v>1400</v>
      </c>
      <c r="S79" s="430">
        <f t="shared" si="14"/>
        <v>1960</v>
      </c>
      <c r="T79" s="415"/>
      <c r="U79" s="431"/>
    </row>
    <row r="80" spans="1:21">
      <c r="A80" s="383"/>
      <c r="B80" s="384"/>
      <c r="C80" s="385" t="s">
        <v>245</v>
      </c>
      <c r="D80" s="444" t="s">
        <v>246</v>
      </c>
      <c r="E80" s="388">
        <v>20</v>
      </c>
      <c r="F80" s="433" t="s">
        <v>240</v>
      </c>
      <c r="G80" s="390">
        <f t="shared" si="8"/>
        <v>3530</v>
      </c>
      <c r="H80" s="390">
        <f t="shared" si="9"/>
        <v>70600</v>
      </c>
      <c r="I80" s="390">
        <v>850</v>
      </c>
      <c r="J80" s="389">
        <f t="shared" si="10"/>
        <v>17000</v>
      </c>
      <c r="K80" s="434">
        <f t="shared" si="11"/>
        <v>4380</v>
      </c>
      <c r="L80" s="435">
        <f t="shared" si="12"/>
        <v>87600</v>
      </c>
      <c r="N80" s="428" t="str">
        <f t="shared" si="13"/>
        <v>YES</v>
      </c>
      <c r="O80" s="316"/>
      <c r="P80" s="429"/>
      <c r="Q80" s="430"/>
      <c r="R80" s="539">
        <v>2520</v>
      </c>
      <c r="S80" s="430">
        <f t="shared" si="14"/>
        <v>3530</v>
      </c>
      <c r="T80" s="415"/>
      <c r="U80" s="431"/>
    </row>
    <row r="81" spans="1:21">
      <c r="A81" s="383"/>
      <c r="B81" s="384"/>
      <c r="C81" s="385" t="s">
        <v>247</v>
      </c>
      <c r="D81" s="444" t="s">
        <v>248</v>
      </c>
      <c r="E81" s="388">
        <v>2</v>
      </c>
      <c r="F81" s="433" t="s">
        <v>240</v>
      </c>
      <c r="G81" s="390">
        <f t="shared" si="8"/>
        <v>3850</v>
      </c>
      <c r="H81" s="390">
        <f t="shared" si="9"/>
        <v>7700</v>
      </c>
      <c r="I81" s="390">
        <v>850</v>
      </c>
      <c r="J81" s="389">
        <f t="shared" si="10"/>
        <v>1700</v>
      </c>
      <c r="K81" s="434">
        <f t="shared" si="11"/>
        <v>4700</v>
      </c>
      <c r="L81" s="435">
        <f t="shared" si="12"/>
        <v>9400</v>
      </c>
      <c r="N81" s="428" t="str">
        <f t="shared" si="13"/>
        <v>YES</v>
      </c>
      <c r="O81" s="316"/>
      <c r="P81" s="429"/>
      <c r="Q81" s="430"/>
      <c r="R81" s="539">
        <v>2750</v>
      </c>
      <c r="S81" s="430">
        <f t="shared" si="14"/>
        <v>3850</v>
      </c>
      <c r="T81" s="415"/>
      <c r="U81" s="431"/>
    </row>
    <row r="82" spans="1:21" s="458" customFormat="1" ht="37.5">
      <c r="A82" s="445"/>
      <c r="B82" s="446"/>
      <c r="C82" s="447" t="s">
        <v>249</v>
      </c>
      <c r="D82" s="448" t="s">
        <v>250</v>
      </c>
      <c r="E82" s="449">
        <v>40</v>
      </c>
      <c r="F82" s="442" t="s">
        <v>240</v>
      </c>
      <c r="G82" s="450">
        <f t="shared" si="8"/>
        <v>4620</v>
      </c>
      <c r="H82" s="450">
        <f t="shared" si="9"/>
        <v>184800</v>
      </c>
      <c r="I82" s="450">
        <v>750</v>
      </c>
      <c r="J82" s="450">
        <f t="shared" si="10"/>
        <v>30000</v>
      </c>
      <c r="K82" s="451">
        <f t="shared" si="11"/>
        <v>5370</v>
      </c>
      <c r="L82" s="452">
        <f t="shared" si="12"/>
        <v>214800</v>
      </c>
      <c r="M82" s="453"/>
      <c r="N82" s="454" t="str">
        <f t="shared" si="13"/>
        <v>YES</v>
      </c>
      <c r="O82" s="443"/>
      <c r="P82" s="455"/>
      <c r="Q82" s="456"/>
      <c r="R82" s="540">
        <v>3300</v>
      </c>
      <c r="S82" s="430">
        <f t="shared" si="14"/>
        <v>4620</v>
      </c>
      <c r="T82" s="456"/>
      <c r="U82" s="457"/>
    </row>
    <row r="83" spans="1:21">
      <c r="A83" s="383"/>
      <c r="B83" s="384"/>
      <c r="C83" s="385" t="s">
        <v>251</v>
      </c>
      <c r="D83" s="444" t="s">
        <v>252</v>
      </c>
      <c r="E83" s="388">
        <v>2</v>
      </c>
      <c r="F83" s="433" t="s">
        <v>240</v>
      </c>
      <c r="G83" s="390">
        <f t="shared" si="8"/>
        <v>2730</v>
      </c>
      <c r="H83" s="390">
        <f t="shared" si="9"/>
        <v>5460</v>
      </c>
      <c r="I83" s="390">
        <v>750</v>
      </c>
      <c r="J83" s="389">
        <f t="shared" si="10"/>
        <v>1500</v>
      </c>
      <c r="K83" s="434">
        <f t="shared" si="11"/>
        <v>3480</v>
      </c>
      <c r="L83" s="435">
        <f t="shared" si="12"/>
        <v>6960</v>
      </c>
      <c r="N83" s="428" t="str">
        <f t="shared" si="13"/>
        <v>YES</v>
      </c>
      <c r="O83" s="316"/>
      <c r="P83" s="429"/>
      <c r="Q83" s="430"/>
      <c r="R83" s="539">
        <v>1950</v>
      </c>
      <c r="S83" s="430">
        <f t="shared" si="14"/>
        <v>2730</v>
      </c>
      <c r="T83" s="415"/>
      <c r="U83" s="431"/>
    </row>
    <row r="84" spans="1:21">
      <c r="A84" s="383"/>
      <c r="B84" s="384"/>
      <c r="C84" s="385" t="s">
        <v>253</v>
      </c>
      <c r="D84" s="444" t="s">
        <v>254</v>
      </c>
      <c r="E84" s="388">
        <v>40</v>
      </c>
      <c r="F84" s="433" t="s">
        <v>240</v>
      </c>
      <c r="G84" s="390">
        <f t="shared" si="8"/>
        <v>730</v>
      </c>
      <c r="H84" s="390">
        <f t="shared" si="9"/>
        <v>29200</v>
      </c>
      <c r="I84" s="390">
        <v>350</v>
      </c>
      <c r="J84" s="389">
        <f t="shared" si="10"/>
        <v>14000</v>
      </c>
      <c r="K84" s="434">
        <f t="shared" si="11"/>
        <v>1080</v>
      </c>
      <c r="L84" s="435">
        <f t="shared" si="12"/>
        <v>43200</v>
      </c>
      <c r="N84" s="428" t="str">
        <f t="shared" si="13"/>
        <v>YES</v>
      </c>
      <c r="O84" s="316"/>
      <c r="P84" s="429"/>
      <c r="Q84" s="430"/>
      <c r="R84" s="539">
        <v>520</v>
      </c>
      <c r="S84" s="430">
        <f t="shared" si="14"/>
        <v>730</v>
      </c>
      <c r="T84" s="415"/>
      <c r="U84" s="431"/>
    </row>
    <row r="85" spans="1:21">
      <c r="A85" s="383"/>
      <c r="B85" s="384"/>
      <c r="C85" s="385" t="s">
        <v>255</v>
      </c>
      <c r="D85" s="444" t="s">
        <v>256</v>
      </c>
      <c r="E85" s="388">
        <v>2</v>
      </c>
      <c r="F85" s="433" t="s">
        <v>240</v>
      </c>
      <c r="G85" s="390">
        <f t="shared" si="8"/>
        <v>9730</v>
      </c>
      <c r="H85" s="390">
        <f t="shared" si="9"/>
        <v>19460</v>
      </c>
      <c r="I85" s="390">
        <v>900</v>
      </c>
      <c r="J85" s="389">
        <f t="shared" si="10"/>
        <v>1800</v>
      </c>
      <c r="K85" s="434">
        <f t="shared" si="11"/>
        <v>10630</v>
      </c>
      <c r="L85" s="435">
        <f t="shared" si="12"/>
        <v>21260</v>
      </c>
      <c r="N85" s="428" t="str">
        <f t="shared" si="13"/>
        <v>YES</v>
      </c>
      <c r="O85" s="316"/>
      <c r="P85" s="429"/>
      <c r="Q85" s="430"/>
      <c r="R85" s="539">
        <v>6950</v>
      </c>
      <c r="S85" s="430">
        <f t="shared" si="14"/>
        <v>9730</v>
      </c>
      <c r="T85" s="415"/>
      <c r="U85" s="431"/>
    </row>
    <row r="86" spans="1:21">
      <c r="A86" s="383"/>
      <c r="B86" s="384"/>
      <c r="C86" s="385" t="s">
        <v>257</v>
      </c>
      <c r="D86" s="444" t="s">
        <v>258</v>
      </c>
      <c r="E86" s="388"/>
      <c r="F86" s="433"/>
      <c r="G86" s="390"/>
      <c r="H86" s="390"/>
      <c r="I86" s="390"/>
      <c r="J86" s="389"/>
      <c r="K86" s="434">
        <f t="shared" si="11"/>
        <v>0</v>
      </c>
      <c r="L86" s="435"/>
      <c r="N86" s="428" t="str">
        <f t="shared" si="13"/>
        <v>YES</v>
      </c>
      <c r="O86" s="316"/>
      <c r="P86" s="429"/>
      <c r="Q86" s="430"/>
      <c r="R86" s="539"/>
      <c r="S86" s="430">
        <f t="shared" si="14"/>
        <v>0</v>
      </c>
      <c r="T86" s="415"/>
      <c r="U86" s="431"/>
    </row>
    <row r="87" spans="1:21">
      <c r="A87" s="383"/>
      <c r="B87" s="384"/>
      <c r="C87" s="385"/>
      <c r="D87" s="444" t="s">
        <v>259</v>
      </c>
      <c r="E87" s="388">
        <v>20</v>
      </c>
      <c r="F87" s="433" t="s">
        <v>240</v>
      </c>
      <c r="G87" s="390">
        <f t="shared" si="8"/>
        <v>1190</v>
      </c>
      <c r="H87" s="390">
        <f t="shared" si="9"/>
        <v>23800</v>
      </c>
      <c r="I87" s="390">
        <v>330</v>
      </c>
      <c r="J87" s="389">
        <f t="shared" si="10"/>
        <v>6600</v>
      </c>
      <c r="K87" s="434">
        <f t="shared" si="11"/>
        <v>1520</v>
      </c>
      <c r="L87" s="435">
        <f t="shared" si="12"/>
        <v>30400</v>
      </c>
      <c r="N87" s="428" t="str">
        <f t="shared" si="13"/>
        <v>YES</v>
      </c>
      <c r="O87" s="316"/>
      <c r="P87" s="429"/>
      <c r="Q87" s="430"/>
      <c r="R87" s="539">
        <v>850</v>
      </c>
      <c r="S87" s="430">
        <f t="shared" si="14"/>
        <v>1190</v>
      </c>
      <c r="T87" s="415"/>
      <c r="U87" s="431"/>
    </row>
    <row r="88" spans="1:21">
      <c r="A88" s="383"/>
      <c r="B88" s="384"/>
      <c r="C88" s="385"/>
      <c r="D88" s="444" t="s">
        <v>260</v>
      </c>
      <c r="E88" s="388">
        <v>20</v>
      </c>
      <c r="F88" s="433" t="s">
        <v>240</v>
      </c>
      <c r="G88" s="390">
        <f t="shared" si="8"/>
        <v>1190</v>
      </c>
      <c r="H88" s="390">
        <f t="shared" si="9"/>
        <v>23800</v>
      </c>
      <c r="I88" s="390">
        <v>330</v>
      </c>
      <c r="J88" s="389">
        <f t="shared" si="10"/>
        <v>6600</v>
      </c>
      <c r="K88" s="434">
        <f t="shared" si="11"/>
        <v>1520</v>
      </c>
      <c r="L88" s="435">
        <f t="shared" si="12"/>
        <v>30400</v>
      </c>
      <c r="N88" s="428" t="str">
        <f t="shared" si="13"/>
        <v>YES</v>
      </c>
      <c r="O88" s="316"/>
      <c r="P88" s="429"/>
      <c r="Q88" s="430"/>
      <c r="R88" s="539">
        <v>850</v>
      </c>
      <c r="S88" s="430">
        <f t="shared" si="14"/>
        <v>1190</v>
      </c>
      <c r="T88" s="415"/>
      <c r="U88" s="431"/>
    </row>
    <row r="89" spans="1:21">
      <c r="A89" s="383"/>
      <c r="B89" s="437">
        <v>2.6</v>
      </c>
      <c r="C89" s="438"/>
      <c r="D89" s="439" t="s">
        <v>261</v>
      </c>
      <c r="E89" s="388"/>
      <c r="F89" s="433"/>
      <c r="G89" s="390"/>
      <c r="H89" s="390"/>
      <c r="I89" s="390"/>
      <c r="J89" s="389"/>
      <c r="K89" s="434">
        <f t="shared" si="11"/>
        <v>0</v>
      </c>
      <c r="L89" s="435"/>
      <c r="N89" s="428" t="str">
        <f t="shared" si="13"/>
        <v>YES</v>
      </c>
      <c r="O89" s="316"/>
      <c r="P89" s="429"/>
      <c r="Q89" s="430"/>
      <c r="R89" s="539"/>
      <c r="S89" s="430">
        <f t="shared" si="14"/>
        <v>0</v>
      </c>
      <c r="T89" s="415"/>
      <c r="U89" s="431"/>
    </row>
    <row r="90" spans="1:21">
      <c r="A90" s="383"/>
      <c r="B90" s="384"/>
      <c r="C90" s="385" t="s">
        <v>262</v>
      </c>
      <c r="D90" s="432" t="s">
        <v>263</v>
      </c>
      <c r="E90" s="388">
        <v>2325</v>
      </c>
      <c r="F90" s="433" t="s">
        <v>121</v>
      </c>
      <c r="G90" s="390">
        <f t="shared" si="8"/>
        <v>100</v>
      </c>
      <c r="H90" s="390">
        <f t="shared" si="9"/>
        <v>232500</v>
      </c>
      <c r="I90" s="390">
        <v>40</v>
      </c>
      <c r="J90" s="389">
        <f t="shared" si="10"/>
        <v>93000</v>
      </c>
      <c r="K90" s="434">
        <f t="shared" si="11"/>
        <v>140</v>
      </c>
      <c r="L90" s="435">
        <f t="shared" si="12"/>
        <v>325500</v>
      </c>
      <c r="N90" s="428" t="str">
        <f t="shared" si="13"/>
        <v>YES</v>
      </c>
      <c r="O90" s="316"/>
      <c r="P90" s="429"/>
      <c r="Q90" s="430"/>
      <c r="R90" s="539">
        <v>70</v>
      </c>
      <c r="S90" s="430">
        <f t="shared" si="14"/>
        <v>100</v>
      </c>
      <c r="T90" s="415"/>
      <c r="U90" s="431"/>
    </row>
    <row r="91" spans="1:21">
      <c r="A91" s="383"/>
      <c r="B91" s="384"/>
      <c r="C91" s="385" t="s">
        <v>264</v>
      </c>
      <c r="D91" s="432" t="s">
        <v>265</v>
      </c>
      <c r="E91" s="388">
        <v>420</v>
      </c>
      <c r="F91" s="433" t="s">
        <v>121</v>
      </c>
      <c r="G91" s="390">
        <f t="shared" si="8"/>
        <v>100</v>
      </c>
      <c r="H91" s="390">
        <f t="shared" si="9"/>
        <v>42000</v>
      </c>
      <c r="I91" s="390">
        <v>40</v>
      </c>
      <c r="J91" s="389">
        <f t="shared" si="10"/>
        <v>16800</v>
      </c>
      <c r="K91" s="434">
        <f t="shared" si="11"/>
        <v>140</v>
      </c>
      <c r="L91" s="435">
        <f t="shared" si="12"/>
        <v>58800</v>
      </c>
      <c r="N91" s="428" t="str">
        <f t="shared" si="13"/>
        <v>YES</v>
      </c>
      <c r="O91" s="316"/>
      <c r="P91" s="429"/>
      <c r="Q91" s="430"/>
      <c r="R91" s="539">
        <v>70</v>
      </c>
      <c r="S91" s="430">
        <f t="shared" si="14"/>
        <v>100</v>
      </c>
      <c r="T91" s="415"/>
      <c r="U91" s="431"/>
    </row>
    <row r="92" spans="1:21">
      <c r="A92" s="383"/>
      <c r="B92" s="384"/>
      <c r="C92" s="385" t="s">
        <v>266</v>
      </c>
      <c r="D92" s="432" t="s">
        <v>267</v>
      </c>
      <c r="E92" s="388">
        <v>0</v>
      </c>
      <c r="F92" s="433" t="s">
        <v>121</v>
      </c>
      <c r="G92" s="390">
        <f t="shared" si="8"/>
        <v>100</v>
      </c>
      <c r="H92" s="390">
        <f t="shared" si="9"/>
        <v>0</v>
      </c>
      <c r="I92" s="390">
        <v>40</v>
      </c>
      <c r="J92" s="389">
        <f t="shared" si="10"/>
        <v>0</v>
      </c>
      <c r="K92" s="434">
        <f t="shared" si="11"/>
        <v>140</v>
      </c>
      <c r="L92" s="435">
        <f t="shared" si="12"/>
        <v>0</v>
      </c>
      <c r="N92" s="428" t="str">
        <f t="shared" si="13"/>
        <v>YES</v>
      </c>
      <c r="O92" s="316"/>
      <c r="P92" s="429"/>
      <c r="Q92" s="430"/>
      <c r="R92" s="539">
        <v>70</v>
      </c>
      <c r="S92" s="430">
        <f t="shared" si="14"/>
        <v>100</v>
      </c>
      <c r="T92" s="415"/>
      <c r="U92" s="431"/>
    </row>
    <row r="93" spans="1:21">
      <c r="A93" s="383"/>
      <c r="B93" s="384"/>
      <c r="C93" s="385" t="s">
        <v>268</v>
      </c>
      <c r="D93" s="432" t="s">
        <v>269</v>
      </c>
      <c r="E93" s="388">
        <v>45</v>
      </c>
      <c r="F93" s="433" t="s">
        <v>121</v>
      </c>
      <c r="G93" s="390">
        <f t="shared" si="8"/>
        <v>100</v>
      </c>
      <c r="H93" s="390">
        <f t="shared" si="9"/>
        <v>4500</v>
      </c>
      <c r="I93" s="390">
        <v>40</v>
      </c>
      <c r="J93" s="389">
        <f t="shared" si="10"/>
        <v>1800</v>
      </c>
      <c r="K93" s="434">
        <f t="shared" si="11"/>
        <v>140</v>
      </c>
      <c r="L93" s="435">
        <f t="shared" si="12"/>
        <v>6300</v>
      </c>
      <c r="N93" s="428" t="str">
        <f t="shared" si="13"/>
        <v>YES</v>
      </c>
      <c r="O93" s="316"/>
      <c r="P93" s="429"/>
      <c r="Q93" s="430"/>
      <c r="R93" s="539">
        <v>70</v>
      </c>
      <c r="S93" s="430">
        <f t="shared" si="14"/>
        <v>100</v>
      </c>
      <c r="T93" s="415"/>
      <c r="U93" s="431"/>
    </row>
    <row r="94" spans="1:21">
      <c r="A94" s="383"/>
      <c r="B94" s="384"/>
      <c r="C94" s="385" t="s">
        <v>270</v>
      </c>
      <c r="D94" s="432" t="s">
        <v>271</v>
      </c>
      <c r="E94" s="388">
        <v>250</v>
      </c>
      <c r="F94" s="433" t="s">
        <v>121</v>
      </c>
      <c r="G94" s="390">
        <f t="shared" si="8"/>
        <v>100</v>
      </c>
      <c r="H94" s="390">
        <f t="shared" si="9"/>
        <v>25000</v>
      </c>
      <c r="I94" s="390">
        <v>40</v>
      </c>
      <c r="J94" s="389">
        <f t="shared" si="10"/>
        <v>10000</v>
      </c>
      <c r="K94" s="434">
        <f t="shared" si="11"/>
        <v>140</v>
      </c>
      <c r="L94" s="435">
        <f t="shared" si="12"/>
        <v>35000</v>
      </c>
      <c r="N94" s="428" t="str">
        <f t="shared" si="13"/>
        <v>YES</v>
      </c>
      <c r="O94" s="316"/>
      <c r="P94" s="429"/>
      <c r="Q94" s="430"/>
      <c r="R94" s="539">
        <v>70</v>
      </c>
      <c r="S94" s="430">
        <f t="shared" si="14"/>
        <v>100</v>
      </c>
      <c r="T94" s="415"/>
      <c r="U94" s="431"/>
    </row>
    <row r="95" spans="1:21">
      <c r="A95" s="383"/>
      <c r="B95" s="384"/>
      <c r="C95" s="385" t="s">
        <v>272</v>
      </c>
      <c r="D95" s="432" t="s">
        <v>273</v>
      </c>
      <c r="E95" s="388">
        <v>209</v>
      </c>
      <c r="F95" s="433" t="s">
        <v>121</v>
      </c>
      <c r="G95" s="390">
        <f t="shared" si="8"/>
        <v>100</v>
      </c>
      <c r="H95" s="390">
        <f t="shared" si="9"/>
        <v>20900</v>
      </c>
      <c r="I95" s="390">
        <v>40</v>
      </c>
      <c r="J95" s="389">
        <f t="shared" si="10"/>
        <v>8360</v>
      </c>
      <c r="K95" s="434">
        <f t="shared" si="11"/>
        <v>140</v>
      </c>
      <c r="L95" s="435">
        <f t="shared" si="12"/>
        <v>29260</v>
      </c>
      <c r="N95" s="428" t="str">
        <f t="shared" si="13"/>
        <v>YES</v>
      </c>
      <c r="O95" s="316"/>
      <c r="P95" s="429"/>
      <c r="Q95" s="430"/>
      <c r="R95" s="539">
        <v>70</v>
      </c>
      <c r="S95" s="430">
        <f t="shared" si="14"/>
        <v>100</v>
      </c>
      <c r="T95" s="415"/>
      <c r="U95" s="431"/>
    </row>
    <row r="96" spans="1:21">
      <c r="A96" s="383"/>
      <c r="B96" s="437">
        <v>2.7</v>
      </c>
      <c r="C96" s="385"/>
      <c r="D96" s="439" t="s">
        <v>274</v>
      </c>
      <c r="E96" s="388"/>
      <c r="F96" s="433"/>
      <c r="G96" s="390"/>
      <c r="H96" s="390"/>
      <c r="I96" s="390"/>
      <c r="J96" s="389"/>
      <c r="K96" s="434">
        <f t="shared" si="11"/>
        <v>0</v>
      </c>
      <c r="L96" s="435"/>
      <c r="N96" s="428" t="str">
        <f t="shared" si="13"/>
        <v>YES</v>
      </c>
      <c r="O96" s="316"/>
      <c r="P96" s="429"/>
      <c r="Q96" s="430"/>
      <c r="R96" s="539"/>
      <c r="S96" s="430">
        <f t="shared" si="14"/>
        <v>0</v>
      </c>
      <c r="T96" s="415"/>
      <c r="U96" s="431"/>
    </row>
    <row r="97" spans="1:21" ht="37.5">
      <c r="A97" s="383"/>
      <c r="B97" s="384"/>
      <c r="C97" s="385" t="s">
        <v>275</v>
      </c>
      <c r="D97" s="432" t="s">
        <v>276</v>
      </c>
      <c r="E97" s="388">
        <v>1</v>
      </c>
      <c r="F97" s="433" t="s">
        <v>277</v>
      </c>
      <c r="G97" s="390">
        <f t="shared" si="8"/>
        <v>77000</v>
      </c>
      <c r="H97" s="390">
        <f t="shared" si="9"/>
        <v>77000</v>
      </c>
      <c r="I97" s="390">
        <v>20000</v>
      </c>
      <c r="J97" s="389">
        <f t="shared" si="10"/>
        <v>20000</v>
      </c>
      <c r="K97" s="434">
        <f t="shared" si="11"/>
        <v>97000</v>
      </c>
      <c r="L97" s="435">
        <f t="shared" si="12"/>
        <v>97000</v>
      </c>
      <c r="N97" s="428" t="str">
        <f t="shared" si="13"/>
        <v>YES</v>
      </c>
      <c r="O97" s="316"/>
      <c r="P97" s="429"/>
      <c r="Q97" s="430"/>
      <c r="R97" s="539">
        <v>55000</v>
      </c>
      <c r="S97" s="430">
        <f t="shared" si="14"/>
        <v>77000</v>
      </c>
      <c r="T97" s="415"/>
      <c r="U97" s="431"/>
    </row>
    <row r="98" spans="1:21">
      <c r="A98" s="459"/>
      <c r="B98" s="460"/>
      <c r="C98" s="461"/>
      <c r="D98" s="462"/>
      <c r="E98" s="463"/>
      <c r="F98" s="464"/>
      <c r="G98" s="465"/>
      <c r="H98" s="465"/>
      <c r="I98" s="465"/>
      <c r="J98" s="466"/>
      <c r="K98" s="467"/>
      <c r="L98" s="468"/>
      <c r="N98" s="428"/>
      <c r="O98" s="316"/>
      <c r="P98" s="429"/>
      <c r="Q98" s="430"/>
      <c r="R98" s="539"/>
      <c r="S98" s="430">
        <f t="shared" ref="S98:S106" si="16">ROUND(R98*$S$9,0)</f>
        <v>0</v>
      </c>
      <c r="T98" s="415"/>
      <c r="U98" s="431"/>
    </row>
    <row r="99" spans="1:21" ht="21">
      <c r="A99" s="405">
        <v>3</v>
      </c>
      <c r="B99" s="406" t="s">
        <v>278</v>
      </c>
      <c r="C99" s="469"/>
      <c r="D99" s="408"/>
      <c r="E99" s="470"/>
      <c r="F99" s="471"/>
      <c r="G99" s="472"/>
      <c r="H99" s="473">
        <f>SUM(H100:H234)</f>
        <v>1738352</v>
      </c>
      <c r="I99" s="473"/>
      <c r="J99" s="411">
        <f>SUM(J100:J234)</f>
        <v>679510</v>
      </c>
      <c r="K99" s="474"/>
      <c r="L99" s="475">
        <f>SUM(L100:L234)</f>
        <v>2417862</v>
      </c>
      <c r="N99" s="428"/>
      <c r="O99" s="316"/>
      <c r="P99" s="429"/>
      <c r="Q99" s="430"/>
      <c r="R99" s="539"/>
      <c r="S99" s="430">
        <f t="shared" si="16"/>
        <v>0</v>
      </c>
      <c r="T99" s="415"/>
      <c r="U99" s="431"/>
    </row>
    <row r="100" spans="1:21">
      <c r="A100" s="476"/>
      <c r="B100" s="477">
        <v>3.1</v>
      </c>
      <c r="C100" s="478" t="s">
        <v>279</v>
      </c>
      <c r="D100" s="479"/>
      <c r="E100" s="480"/>
      <c r="F100" s="481"/>
      <c r="G100" s="482"/>
      <c r="H100" s="482"/>
      <c r="I100" s="482"/>
      <c r="J100" s="483"/>
      <c r="K100" s="484"/>
      <c r="L100" s="485"/>
      <c r="N100" s="428"/>
      <c r="O100" s="316"/>
      <c r="P100" s="429"/>
      <c r="Q100" s="430"/>
      <c r="R100" s="539"/>
      <c r="S100" s="430">
        <f t="shared" si="16"/>
        <v>0</v>
      </c>
      <c r="T100" s="415"/>
      <c r="U100" s="431"/>
    </row>
    <row r="101" spans="1:21">
      <c r="A101" s="383"/>
      <c r="B101" s="384"/>
      <c r="C101" s="385" t="s">
        <v>280</v>
      </c>
      <c r="D101" s="432" t="s">
        <v>281</v>
      </c>
      <c r="E101" s="388"/>
      <c r="F101" s="433"/>
      <c r="G101" s="390"/>
      <c r="H101" s="390"/>
      <c r="I101" s="390"/>
      <c r="J101" s="389"/>
      <c r="K101" s="434"/>
      <c r="L101" s="435"/>
      <c r="N101" s="428"/>
      <c r="O101" s="316"/>
      <c r="P101" s="429"/>
      <c r="Q101" s="430"/>
      <c r="R101" s="539"/>
      <c r="S101" s="430">
        <f t="shared" si="16"/>
        <v>0</v>
      </c>
      <c r="T101" s="415"/>
      <c r="U101" s="431"/>
    </row>
    <row r="102" spans="1:21">
      <c r="A102" s="383"/>
      <c r="B102" s="384"/>
      <c r="C102" s="385" t="s">
        <v>282</v>
      </c>
      <c r="D102" s="432" t="s">
        <v>283</v>
      </c>
      <c r="E102" s="388">
        <v>1</v>
      </c>
      <c r="F102" s="433" t="s">
        <v>284</v>
      </c>
      <c r="G102" s="390">
        <v>17900</v>
      </c>
      <c r="H102" s="390">
        <f t="shared" ref="H102:H165" si="17">E102*G102</f>
        <v>17900</v>
      </c>
      <c r="I102" s="390">
        <v>550</v>
      </c>
      <c r="J102" s="389">
        <f t="shared" ref="J102:J165" si="18">E102*I102</f>
        <v>550</v>
      </c>
      <c r="K102" s="434">
        <f t="shared" ref="K102:K165" si="19">I102+G102</f>
        <v>18450</v>
      </c>
      <c r="L102" s="486">
        <f t="shared" ref="L102:L165" si="20">H102+J102</f>
        <v>18450</v>
      </c>
      <c r="N102" s="428"/>
      <c r="O102" s="316"/>
      <c r="P102" s="429"/>
      <c r="Q102" s="430"/>
      <c r="R102" s="539"/>
      <c r="S102" s="430">
        <f t="shared" si="16"/>
        <v>0</v>
      </c>
      <c r="T102" s="415"/>
      <c r="U102" s="431"/>
    </row>
    <row r="103" spans="1:21">
      <c r="A103" s="383"/>
      <c r="B103" s="384"/>
      <c r="C103" s="385" t="s">
        <v>282</v>
      </c>
      <c r="D103" s="432" t="s">
        <v>285</v>
      </c>
      <c r="E103" s="388">
        <v>1</v>
      </c>
      <c r="F103" s="433" t="s">
        <v>284</v>
      </c>
      <c r="G103" s="390">
        <v>11530</v>
      </c>
      <c r="H103" s="390">
        <f t="shared" si="17"/>
        <v>11530</v>
      </c>
      <c r="I103" s="390">
        <v>550</v>
      </c>
      <c r="J103" s="389">
        <f t="shared" si="18"/>
        <v>550</v>
      </c>
      <c r="K103" s="434">
        <f t="shared" si="19"/>
        <v>12080</v>
      </c>
      <c r="L103" s="486">
        <f t="shared" si="20"/>
        <v>12080</v>
      </c>
      <c r="N103" s="428"/>
      <c r="O103" s="316"/>
      <c r="P103" s="429"/>
      <c r="Q103" s="430"/>
      <c r="R103" s="539"/>
      <c r="S103" s="430">
        <f t="shared" si="16"/>
        <v>0</v>
      </c>
      <c r="T103" s="415"/>
      <c r="U103" s="431"/>
    </row>
    <row r="104" spans="1:21">
      <c r="A104" s="383"/>
      <c r="B104" s="384"/>
      <c r="C104" s="385" t="s">
        <v>282</v>
      </c>
      <c r="D104" s="432" t="s">
        <v>286</v>
      </c>
      <c r="E104" s="388">
        <v>20</v>
      </c>
      <c r="F104" s="433" t="s">
        <v>287</v>
      </c>
      <c r="G104" s="390">
        <v>510</v>
      </c>
      <c r="H104" s="390">
        <f t="shared" si="17"/>
        <v>10200</v>
      </c>
      <c r="I104" s="390">
        <v>55</v>
      </c>
      <c r="J104" s="389">
        <f t="shared" si="18"/>
        <v>1100</v>
      </c>
      <c r="K104" s="434">
        <f t="shared" si="19"/>
        <v>565</v>
      </c>
      <c r="L104" s="486">
        <f t="shared" si="20"/>
        <v>11300</v>
      </c>
      <c r="N104" s="428"/>
      <c r="O104" s="316"/>
      <c r="P104" s="429"/>
      <c r="Q104" s="430"/>
      <c r="R104" s="539"/>
      <c r="S104" s="430">
        <f t="shared" si="16"/>
        <v>0</v>
      </c>
      <c r="T104" s="415"/>
      <c r="U104" s="431"/>
    </row>
    <row r="105" spans="1:21">
      <c r="A105" s="383"/>
      <c r="B105" s="384"/>
      <c r="C105" s="385" t="s">
        <v>282</v>
      </c>
      <c r="D105" s="432" t="s">
        <v>288</v>
      </c>
      <c r="E105" s="388">
        <v>4</v>
      </c>
      <c r="F105" s="433" t="s">
        <v>287</v>
      </c>
      <c r="G105" s="390">
        <v>225</v>
      </c>
      <c r="H105" s="390">
        <f t="shared" si="17"/>
        <v>900</v>
      </c>
      <c r="I105" s="390">
        <v>55</v>
      </c>
      <c r="J105" s="389">
        <f t="shared" si="18"/>
        <v>220</v>
      </c>
      <c r="K105" s="434">
        <f t="shared" si="19"/>
        <v>280</v>
      </c>
      <c r="L105" s="486">
        <f t="shared" si="20"/>
        <v>1120</v>
      </c>
      <c r="N105" s="428"/>
      <c r="O105" s="316"/>
      <c r="P105" s="429"/>
      <c r="Q105" s="430"/>
      <c r="R105" s="539"/>
      <c r="S105" s="430">
        <f t="shared" si="16"/>
        <v>0</v>
      </c>
      <c r="T105" s="415"/>
      <c r="U105" s="431"/>
    </row>
    <row r="106" spans="1:21">
      <c r="A106" s="383"/>
      <c r="B106" s="384"/>
      <c r="C106" s="385" t="s">
        <v>282</v>
      </c>
      <c r="D106" s="432" t="s">
        <v>289</v>
      </c>
      <c r="E106" s="388">
        <v>6</v>
      </c>
      <c r="F106" s="433" t="s">
        <v>287</v>
      </c>
      <c r="G106" s="390">
        <v>225</v>
      </c>
      <c r="H106" s="390">
        <f t="shared" si="17"/>
        <v>1350</v>
      </c>
      <c r="I106" s="390">
        <v>55</v>
      </c>
      <c r="J106" s="389">
        <f t="shared" si="18"/>
        <v>330</v>
      </c>
      <c r="K106" s="434">
        <f t="shared" si="19"/>
        <v>280</v>
      </c>
      <c r="L106" s="486">
        <f t="shared" si="20"/>
        <v>1680</v>
      </c>
      <c r="N106" s="428"/>
      <c r="O106" s="316"/>
      <c r="P106" s="429"/>
      <c r="Q106" s="430"/>
      <c r="R106" s="539"/>
      <c r="S106" s="430">
        <f t="shared" si="16"/>
        <v>0</v>
      </c>
      <c r="T106" s="415"/>
      <c r="U106" s="431"/>
    </row>
    <row r="107" spans="1:21">
      <c r="A107" s="383"/>
      <c r="B107" s="384"/>
      <c r="C107" s="385" t="s">
        <v>282</v>
      </c>
      <c r="D107" s="432" t="s">
        <v>290</v>
      </c>
      <c r="E107" s="388">
        <v>2</v>
      </c>
      <c r="F107" s="433" t="s">
        <v>287</v>
      </c>
      <c r="G107" s="390">
        <v>225</v>
      </c>
      <c r="H107" s="390">
        <f t="shared" si="17"/>
        <v>450</v>
      </c>
      <c r="I107" s="390">
        <v>55</v>
      </c>
      <c r="J107" s="389">
        <f t="shared" si="18"/>
        <v>110</v>
      </c>
      <c r="K107" s="434">
        <f t="shared" si="19"/>
        <v>280</v>
      </c>
      <c r="L107" s="486">
        <f t="shared" si="20"/>
        <v>560</v>
      </c>
      <c r="N107" s="428"/>
      <c r="O107" s="316"/>
      <c r="P107" s="429"/>
      <c r="Q107" s="430"/>
      <c r="R107" s="539"/>
      <c r="S107" s="430">
        <f t="shared" ref="S107:S170" si="21">ROUND(R107*$S$9,0)</f>
        <v>0</v>
      </c>
      <c r="T107" s="415"/>
      <c r="U107" s="431"/>
    </row>
    <row r="108" spans="1:21">
      <c r="A108" s="383"/>
      <c r="B108" s="384"/>
      <c r="C108" s="385" t="s">
        <v>291</v>
      </c>
      <c r="D108" s="432" t="s">
        <v>292</v>
      </c>
      <c r="E108" s="388"/>
      <c r="F108" s="433"/>
      <c r="G108" s="390"/>
      <c r="H108" s="390">
        <f t="shared" si="17"/>
        <v>0</v>
      </c>
      <c r="I108" s="390"/>
      <c r="J108" s="389">
        <f t="shared" si="18"/>
        <v>0</v>
      </c>
      <c r="K108" s="434">
        <f t="shared" si="19"/>
        <v>0</v>
      </c>
      <c r="L108" s="486">
        <f t="shared" si="20"/>
        <v>0</v>
      </c>
      <c r="N108" s="428"/>
      <c r="O108" s="316"/>
      <c r="P108" s="429"/>
      <c r="Q108" s="430"/>
      <c r="R108" s="539"/>
      <c r="S108" s="430">
        <f t="shared" si="21"/>
        <v>0</v>
      </c>
      <c r="T108" s="415"/>
      <c r="U108" s="431"/>
    </row>
    <row r="109" spans="1:21">
      <c r="A109" s="383"/>
      <c r="B109" s="384"/>
      <c r="C109" s="385" t="s">
        <v>282</v>
      </c>
      <c r="D109" s="432" t="s">
        <v>293</v>
      </c>
      <c r="E109" s="388">
        <v>3</v>
      </c>
      <c r="F109" s="433" t="s">
        <v>284</v>
      </c>
      <c r="G109" s="390">
        <v>2600</v>
      </c>
      <c r="H109" s="390">
        <f t="shared" si="17"/>
        <v>7800</v>
      </c>
      <c r="I109" s="390">
        <v>330</v>
      </c>
      <c r="J109" s="389">
        <f t="shared" si="18"/>
        <v>990</v>
      </c>
      <c r="K109" s="434">
        <f t="shared" si="19"/>
        <v>2930</v>
      </c>
      <c r="L109" s="486">
        <f t="shared" si="20"/>
        <v>8790</v>
      </c>
      <c r="N109" s="428"/>
      <c r="O109" s="316"/>
      <c r="P109" s="429"/>
      <c r="Q109" s="430"/>
      <c r="R109" s="539"/>
      <c r="S109" s="430">
        <f t="shared" si="21"/>
        <v>0</v>
      </c>
      <c r="T109" s="415"/>
      <c r="U109" s="431"/>
    </row>
    <row r="110" spans="1:21">
      <c r="A110" s="383"/>
      <c r="B110" s="384"/>
      <c r="C110" s="385" t="s">
        <v>282</v>
      </c>
      <c r="D110" s="432" t="s">
        <v>294</v>
      </c>
      <c r="E110" s="388">
        <v>17</v>
      </c>
      <c r="F110" s="433" t="s">
        <v>284</v>
      </c>
      <c r="G110" s="390">
        <v>0</v>
      </c>
      <c r="H110" s="390">
        <f t="shared" si="17"/>
        <v>0</v>
      </c>
      <c r="I110" s="390">
        <v>330</v>
      </c>
      <c r="J110" s="389">
        <f t="shared" si="18"/>
        <v>5610</v>
      </c>
      <c r="K110" s="434">
        <f t="shared" si="19"/>
        <v>330</v>
      </c>
      <c r="L110" s="486">
        <f t="shared" si="20"/>
        <v>5610</v>
      </c>
      <c r="N110" s="428"/>
      <c r="O110" s="316"/>
      <c r="P110" s="429"/>
      <c r="Q110" s="430"/>
      <c r="R110" s="539"/>
      <c r="S110" s="430">
        <f t="shared" si="21"/>
        <v>0</v>
      </c>
      <c r="T110" s="415"/>
      <c r="U110" s="431"/>
    </row>
    <row r="111" spans="1:21">
      <c r="A111" s="383"/>
      <c r="B111" s="384"/>
      <c r="C111" s="385" t="s">
        <v>282</v>
      </c>
      <c r="D111" s="432" t="s">
        <v>295</v>
      </c>
      <c r="E111" s="388">
        <v>20</v>
      </c>
      <c r="F111" s="433" t="s">
        <v>284</v>
      </c>
      <c r="G111" s="390">
        <v>1450</v>
      </c>
      <c r="H111" s="390">
        <f t="shared" si="17"/>
        <v>29000</v>
      </c>
      <c r="I111" s="390">
        <v>110</v>
      </c>
      <c r="J111" s="389">
        <f t="shared" si="18"/>
        <v>2200</v>
      </c>
      <c r="K111" s="434">
        <f t="shared" si="19"/>
        <v>1560</v>
      </c>
      <c r="L111" s="486">
        <f t="shared" si="20"/>
        <v>31200</v>
      </c>
      <c r="N111" s="428"/>
      <c r="O111" s="316"/>
      <c r="P111" s="429"/>
      <c r="Q111" s="430"/>
      <c r="R111" s="539"/>
      <c r="S111" s="430">
        <f t="shared" si="21"/>
        <v>0</v>
      </c>
      <c r="T111" s="415"/>
      <c r="U111" s="431"/>
    </row>
    <row r="112" spans="1:21">
      <c r="A112" s="383"/>
      <c r="B112" s="384"/>
      <c r="C112" s="385" t="s">
        <v>282</v>
      </c>
      <c r="D112" s="432" t="s">
        <v>296</v>
      </c>
      <c r="E112" s="388">
        <v>20</v>
      </c>
      <c r="F112" s="433" t="s">
        <v>287</v>
      </c>
      <c r="G112" s="390">
        <v>2190</v>
      </c>
      <c r="H112" s="390">
        <f t="shared" si="17"/>
        <v>43800</v>
      </c>
      <c r="I112" s="390">
        <v>55</v>
      </c>
      <c r="J112" s="389">
        <f t="shared" si="18"/>
        <v>1100</v>
      </c>
      <c r="K112" s="434">
        <f t="shared" si="19"/>
        <v>2245</v>
      </c>
      <c r="L112" s="486">
        <f t="shared" si="20"/>
        <v>44900</v>
      </c>
      <c r="N112" s="428"/>
      <c r="O112" s="316"/>
      <c r="P112" s="429"/>
      <c r="Q112" s="430"/>
      <c r="R112" s="539"/>
      <c r="S112" s="430">
        <f t="shared" si="21"/>
        <v>0</v>
      </c>
      <c r="T112" s="415"/>
      <c r="U112" s="431"/>
    </row>
    <row r="113" spans="1:21">
      <c r="A113" s="383"/>
      <c r="B113" s="384"/>
      <c r="C113" s="385" t="s">
        <v>282</v>
      </c>
      <c r="D113" s="432" t="s">
        <v>289</v>
      </c>
      <c r="E113" s="388">
        <v>40</v>
      </c>
      <c r="F113" s="433" t="s">
        <v>287</v>
      </c>
      <c r="G113" s="390">
        <v>225</v>
      </c>
      <c r="H113" s="390">
        <f t="shared" si="17"/>
        <v>9000</v>
      </c>
      <c r="I113" s="390">
        <v>55</v>
      </c>
      <c r="J113" s="389">
        <f t="shared" si="18"/>
        <v>2200</v>
      </c>
      <c r="K113" s="434">
        <f t="shared" si="19"/>
        <v>280</v>
      </c>
      <c r="L113" s="486">
        <f t="shared" si="20"/>
        <v>11200</v>
      </c>
      <c r="N113" s="428"/>
      <c r="O113" s="316"/>
      <c r="P113" s="429"/>
      <c r="Q113" s="430"/>
      <c r="R113" s="539"/>
      <c r="S113" s="430">
        <f t="shared" si="21"/>
        <v>0</v>
      </c>
      <c r="T113" s="415"/>
      <c r="U113" s="431"/>
    </row>
    <row r="114" spans="1:21">
      <c r="A114" s="383"/>
      <c r="B114" s="384"/>
      <c r="C114" s="385" t="s">
        <v>282</v>
      </c>
      <c r="D114" s="432" t="s">
        <v>290</v>
      </c>
      <c r="E114" s="388">
        <v>20</v>
      </c>
      <c r="F114" s="433" t="s">
        <v>287</v>
      </c>
      <c r="G114" s="390">
        <v>225</v>
      </c>
      <c r="H114" s="390">
        <f t="shared" si="17"/>
        <v>4500</v>
      </c>
      <c r="I114" s="390">
        <v>55</v>
      </c>
      <c r="J114" s="389">
        <f t="shared" si="18"/>
        <v>1100</v>
      </c>
      <c r="K114" s="434">
        <f t="shared" si="19"/>
        <v>280</v>
      </c>
      <c r="L114" s="486">
        <f t="shared" si="20"/>
        <v>5600</v>
      </c>
      <c r="N114" s="428"/>
      <c r="O114" s="316"/>
      <c r="P114" s="429"/>
      <c r="Q114" s="430"/>
      <c r="R114" s="539"/>
      <c r="S114" s="430">
        <f t="shared" si="21"/>
        <v>0</v>
      </c>
      <c r="T114" s="415"/>
      <c r="U114" s="431"/>
    </row>
    <row r="115" spans="1:21">
      <c r="A115" s="383"/>
      <c r="B115" s="384"/>
      <c r="C115" s="385" t="s">
        <v>297</v>
      </c>
      <c r="D115" s="432" t="s">
        <v>298</v>
      </c>
      <c r="E115" s="388"/>
      <c r="F115" s="433"/>
      <c r="G115" s="390"/>
      <c r="H115" s="390">
        <f t="shared" si="17"/>
        <v>0</v>
      </c>
      <c r="I115" s="390"/>
      <c r="J115" s="389">
        <f t="shared" si="18"/>
        <v>0</v>
      </c>
      <c r="K115" s="434">
        <f t="shared" si="19"/>
        <v>0</v>
      </c>
      <c r="L115" s="486">
        <f t="shared" si="20"/>
        <v>0</v>
      </c>
      <c r="N115" s="428"/>
      <c r="O115" s="316"/>
      <c r="P115" s="429"/>
      <c r="Q115" s="430"/>
      <c r="R115" s="539"/>
      <c r="S115" s="430">
        <f t="shared" si="21"/>
        <v>0</v>
      </c>
      <c r="T115" s="415"/>
      <c r="U115" s="431"/>
    </row>
    <row r="116" spans="1:21">
      <c r="A116" s="383"/>
      <c r="B116" s="384"/>
      <c r="C116" s="385" t="s">
        <v>282</v>
      </c>
      <c r="D116" s="432" t="s">
        <v>298</v>
      </c>
      <c r="E116" s="388">
        <v>532</v>
      </c>
      <c r="F116" s="433" t="s">
        <v>287</v>
      </c>
      <c r="G116" s="390">
        <v>32</v>
      </c>
      <c r="H116" s="390">
        <f t="shared" si="17"/>
        <v>17024</v>
      </c>
      <c r="I116" s="390">
        <v>55</v>
      </c>
      <c r="J116" s="389">
        <f t="shared" si="18"/>
        <v>29260</v>
      </c>
      <c r="K116" s="434">
        <f t="shared" si="19"/>
        <v>87</v>
      </c>
      <c r="L116" s="486">
        <f t="shared" si="20"/>
        <v>46284</v>
      </c>
      <c r="N116" s="428"/>
      <c r="O116" s="316"/>
      <c r="P116" s="429"/>
      <c r="Q116" s="430"/>
      <c r="R116" s="539"/>
      <c r="S116" s="430">
        <f t="shared" si="21"/>
        <v>0</v>
      </c>
      <c r="T116" s="415"/>
      <c r="U116" s="431"/>
    </row>
    <row r="117" spans="1:21">
      <c r="A117" s="383"/>
      <c r="B117" s="384"/>
      <c r="C117" s="385" t="s">
        <v>282</v>
      </c>
      <c r="D117" s="432" t="s">
        <v>299</v>
      </c>
      <c r="E117" s="388">
        <v>20</v>
      </c>
      <c r="F117" s="433" t="s">
        <v>287</v>
      </c>
      <c r="G117" s="390">
        <v>57</v>
      </c>
      <c r="H117" s="390">
        <f t="shared" si="17"/>
        <v>1140</v>
      </c>
      <c r="I117" s="390">
        <v>55</v>
      </c>
      <c r="J117" s="389">
        <f t="shared" si="18"/>
        <v>1100</v>
      </c>
      <c r="K117" s="434">
        <f t="shared" si="19"/>
        <v>112</v>
      </c>
      <c r="L117" s="486">
        <f t="shared" si="20"/>
        <v>2240</v>
      </c>
      <c r="N117" s="428"/>
      <c r="O117" s="316"/>
      <c r="P117" s="429"/>
      <c r="Q117" s="430"/>
      <c r="R117" s="539"/>
      <c r="S117" s="430">
        <f t="shared" si="21"/>
        <v>0</v>
      </c>
      <c r="T117" s="415"/>
      <c r="U117" s="431"/>
    </row>
    <row r="118" spans="1:21">
      <c r="A118" s="383"/>
      <c r="B118" s="384"/>
      <c r="C118" s="385" t="s">
        <v>300</v>
      </c>
      <c r="D118" s="432" t="s">
        <v>301</v>
      </c>
      <c r="E118" s="388"/>
      <c r="F118" s="433"/>
      <c r="G118" s="390"/>
      <c r="H118" s="390">
        <f t="shared" si="17"/>
        <v>0</v>
      </c>
      <c r="I118" s="390"/>
      <c r="J118" s="389">
        <f t="shared" si="18"/>
        <v>0</v>
      </c>
      <c r="K118" s="434">
        <f t="shared" si="19"/>
        <v>0</v>
      </c>
      <c r="L118" s="486">
        <f t="shared" si="20"/>
        <v>0</v>
      </c>
      <c r="N118" s="428"/>
      <c r="O118" s="316"/>
      <c r="P118" s="429"/>
      <c r="Q118" s="430"/>
      <c r="R118" s="539"/>
      <c r="S118" s="430">
        <f t="shared" si="21"/>
        <v>0</v>
      </c>
      <c r="T118" s="415"/>
      <c r="U118" s="431"/>
    </row>
    <row r="119" spans="1:21">
      <c r="A119" s="383"/>
      <c r="B119" s="384"/>
      <c r="C119" s="385" t="s">
        <v>282</v>
      </c>
      <c r="D119" s="432" t="s">
        <v>302</v>
      </c>
      <c r="E119" s="388">
        <v>3</v>
      </c>
      <c r="F119" s="433" t="s">
        <v>284</v>
      </c>
      <c r="G119" s="390">
        <v>2000</v>
      </c>
      <c r="H119" s="390">
        <f t="shared" si="17"/>
        <v>6000</v>
      </c>
      <c r="I119" s="390">
        <v>240</v>
      </c>
      <c r="J119" s="389">
        <f t="shared" si="18"/>
        <v>720</v>
      </c>
      <c r="K119" s="434">
        <f t="shared" si="19"/>
        <v>2240</v>
      </c>
      <c r="L119" s="486">
        <f t="shared" si="20"/>
        <v>6720</v>
      </c>
      <c r="N119" s="428"/>
      <c r="O119" s="316"/>
      <c r="P119" s="429"/>
      <c r="Q119" s="430"/>
      <c r="R119" s="539"/>
      <c r="S119" s="430">
        <f t="shared" si="21"/>
        <v>0</v>
      </c>
      <c r="T119" s="415"/>
      <c r="U119" s="431"/>
    </row>
    <row r="120" spans="1:21">
      <c r="A120" s="383"/>
      <c r="B120" s="384"/>
      <c r="C120" s="385" t="s">
        <v>282</v>
      </c>
      <c r="D120" s="432" t="s">
        <v>303</v>
      </c>
      <c r="E120" s="388">
        <v>17</v>
      </c>
      <c r="F120" s="433" t="s">
        <v>284</v>
      </c>
      <c r="G120" s="390">
        <v>0</v>
      </c>
      <c r="H120" s="390">
        <f t="shared" si="17"/>
        <v>0</v>
      </c>
      <c r="I120" s="390">
        <v>240</v>
      </c>
      <c r="J120" s="389">
        <f t="shared" si="18"/>
        <v>4080</v>
      </c>
      <c r="K120" s="434">
        <f t="shared" si="19"/>
        <v>240</v>
      </c>
      <c r="L120" s="486">
        <f t="shared" si="20"/>
        <v>4080</v>
      </c>
      <c r="N120" s="428"/>
      <c r="O120" s="316"/>
      <c r="P120" s="429"/>
      <c r="Q120" s="430"/>
      <c r="R120" s="539"/>
      <c r="S120" s="430">
        <f t="shared" si="21"/>
        <v>0</v>
      </c>
      <c r="T120" s="415"/>
      <c r="U120" s="431"/>
    </row>
    <row r="121" spans="1:21">
      <c r="A121" s="383"/>
      <c r="B121" s="384"/>
      <c r="C121" s="385"/>
      <c r="D121" s="432"/>
      <c r="E121" s="388"/>
      <c r="F121" s="433"/>
      <c r="G121" s="390"/>
      <c r="H121" s="390">
        <f t="shared" si="17"/>
        <v>0</v>
      </c>
      <c r="I121" s="390"/>
      <c r="J121" s="389">
        <f t="shared" si="18"/>
        <v>0</v>
      </c>
      <c r="K121" s="434">
        <f t="shared" si="19"/>
        <v>0</v>
      </c>
      <c r="L121" s="486">
        <f t="shared" si="20"/>
        <v>0</v>
      </c>
      <c r="N121" s="428"/>
      <c r="O121" s="316"/>
      <c r="P121" s="429"/>
      <c r="Q121" s="430"/>
      <c r="R121" s="539"/>
      <c r="S121" s="430">
        <f t="shared" si="21"/>
        <v>0</v>
      </c>
      <c r="T121" s="415"/>
      <c r="U121" s="431"/>
    </row>
    <row r="122" spans="1:21">
      <c r="A122" s="383"/>
      <c r="B122" s="437">
        <v>3.2</v>
      </c>
      <c r="C122" s="487" t="s">
        <v>304</v>
      </c>
      <c r="D122" s="432"/>
      <c r="E122" s="388"/>
      <c r="F122" s="433"/>
      <c r="G122" s="390"/>
      <c r="H122" s="390">
        <f t="shared" si="17"/>
        <v>0</v>
      </c>
      <c r="I122" s="390"/>
      <c r="J122" s="389">
        <f t="shared" si="18"/>
        <v>0</v>
      </c>
      <c r="K122" s="434">
        <f t="shared" si="19"/>
        <v>0</v>
      </c>
      <c r="L122" s="486">
        <f t="shared" si="20"/>
        <v>0</v>
      </c>
      <c r="N122" s="428"/>
      <c r="O122" s="316"/>
      <c r="P122" s="429"/>
      <c r="Q122" s="430"/>
      <c r="R122" s="539"/>
      <c r="S122" s="430">
        <f t="shared" si="21"/>
        <v>0</v>
      </c>
      <c r="T122" s="415"/>
      <c r="U122" s="431"/>
    </row>
    <row r="123" spans="1:21">
      <c r="A123" s="383"/>
      <c r="B123" s="384"/>
      <c r="C123" s="385" t="s">
        <v>305</v>
      </c>
      <c r="D123" s="432" t="s">
        <v>306</v>
      </c>
      <c r="E123" s="388"/>
      <c r="F123" s="433"/>
      <c r="G123" s="390"/>
      <c r="H123" s="390">
        <f t="shared" si="17"/>
        <v>0</v>
      </c>
      <c r="I123" s="390"/>
      <c r="J123" s="389">
        <f t="shared" si="18"/>
        <v>0</v>
      </c>
      <c r="K123" s="434">
        <f t="shared" si="19"/>
        <v>0</v>
      </c>
      <c r="L123" s="486">
        <f t="shared" si="20"/>
        <v>0</v>
      </c>
      <c r="N123" s="428"/>
      <c r="O123" s="316"/>
      <c r="P123" s="429"/>
      <c r="Q123" s="430"/>
      <c r="R123" s="539"/>
      <c r="S123" s="430">
        <f t="shared" si="21"/>
        <v>0</v>
      </c>
      <c r="T123" s="415"/>
      <c r="U123" s="431"/>
    </row>
    <row r="124" spans="1:21">
      <c r="A124" s="383"/>
      <c r="B124" s="384"/>
      <c r="C124" s="385" t="s">
        <v>282</v>
      </c>
      <c r="D124" s="432" t="s">
        <v>307</v>
      </c>
      <c r="E124" s="388">
        <v>2375</v>
      </c>
      <c r="F124" s="433" t="s">
        <v>104</v>
      </c>
      <c r="G124" s="390">
        <v>13</v>
      </c>
      <c r="H124" s="390">
        <f t="shared" si="17"/>
        <v>30875</v>
      </c>
      <c r="I124" s="390">
        <v>6</v>
      </c>
      <c r="J124" s="389">
        <f t="shared" si="18"/>
        <v>14250</v>
      </c>
      <c r="K124" s="434">
        <f t="shared" si="19"/>
        <v>19</v>
      </c>
      <c r="L124" s="486">
        <f t="shared" si="20"/>
        <v>45125</v>
      </c>
      <c r="N124" s="428"/>
      <c r="O124" s="316"/>
      <c r="P124" s="429"/>
      <c r="Q124" s="430"/>
      <c r="R124" s="539"/>
      <c r="S124" s="430">
        <f t="shared" si="21"/>
        <v>0</v>
      </c>
      <c r="T124" s="415"/>
      <c r="U124" s="431"/>
    </row>
    <row r="125" spans="1:21">
      <c r="A125" s="383"/>
      <c r="B125" s="384"/>
      <c r="C125" s="385" t="s">
        <v>282</v>
      </c>
      <c r="D125" s="432" t="s">
        <v>308</v>
      </c>
      <c r="E125" s="388">
        <v>10947</v>
      </c>
      <c r="F125" s="433" t="s">
        <v>104</v>
      </c>
      <c r="G125" s="390">
        <v>19</v>
      </c>
      <c r="H125" s="390">
        <f t="shared" si="17"/>
        <v>207993</v>
      </c>
      <c r="I125" s="390">
        <v>8</v>
      </c>
      <c r="J125" s="389">
        <f t="shared" si="18"/>
        <v>87576</v>
      </c>
      <c r="K125" s="434">
        <f t="shared" si="19"/>
        <v>27</v>
      </c>
      <c r="L125" s="486">
        <f t="shared" si="20"/>
        <v>295569</v>
      </c>
      <c r="N125" s="428"/>
      <c r="O125" s="316"/>
      <c r="P125" s="429"/>
      <c r="Q125" s="430"/>
      <c r="R125" s="539"/>
      <c r="S125" s="430">
        <f t="shared" si="21"/>
        <v>0</v>
      </c>
      <c r="T125" s="415"/>
      <c r="U125" s="431"/>
    </row>
    <row r="126" spans="1:21">
      <c r="A126" s="383"/>
      <c r="B126" s="384"/>
      <c r="C126" s="385" t="s">
        <v>282</v>
      </c>
      <c r="D126" s="432" t="s">
        <v>309</v>
      </c>
      <c r="E126" s="388">
        <v>140</v>
      </c>
      <c r="F126" s="433" t="s">
        <v>104</v>
      </c>
      <c r="G126" s="390">
        <v>30</v>
      </c>
      <c r="H126" s="390">
        <f t="shared" si="17"/>
        <v>4200</v>
      </c>
      <c r="I126" s="390">
        <v>13</v>
      </c>
      <c r="J126" s="389">
        <f t="shared" si="18"/>
        <v>1820</v>
      </c>
      <c r="K126" s="434">
        <f t="shared" si="19"/>
        <v>43</v>
      </c>
      <c r="L126" s="486">
        <f t="shared" si="20"/>
        <v>6020</v>
      </c>
      <c r="N126" s="428"/>
      <c r="O126" s="316"/>
      <c r="P126" s="429"/>
      <c r="Q126" s="430"/>
      <c r="R126" s="539"/>
      <c r="S126" s="430">
        <f t="shared" si="21"/>
        <v>0</v>
      </c>
      <c r="T126" s="415"/>
      <c r="U126" s="431"/>
    </row>
    <row r="127" spans="1:21">
      <c r="A127" s="383"/>
      <c r="B127" s="384"/>
      <c r="C127" s="385" t="s">
        <v>282</v>
      </c>
      <c r="D127" s="432" t="s">
        <v>310</v>
      </c>
      <c r="E127" s="388">
        <v>1800</v>
      </c>
      <c r="F127" s="433" t="s">
        <v>104</v>
      </c>
      <c r="G127" s="390">
        <v>50</v>
      </c>
      <c r="H127" s="390">
        <f t="shared" si="17"/>
        <v>90000</v>
      </c>
      <c r="I127" s="390">
        <v>23</v>
      </c>
      <c r="J127" s="389">
        <f t="shared" si="18"/>
        <v>41400</v>
      </c>
      <c r="K127" s="434">
        <f t="shared" si="19"/>
        <v>73</v>
      </c>
      <c r="L127" s="486">
        <f t="shared" si="20"/>
        <v>131400</v>
      </c>
      <c r="N127" s="428"/>
      <c r="O127" s="316"/>
      <c r="P127" s="429"/>
      <c r="Q127" s="430"/>
      <c r="R127" s="539"/>
      <c r="S127" s="430">
        <f t="shared" si="21"/>
        <v>0</v>
      </c>
      <c r="T127" s="415"/>
      <c r="U127" s="431"/>
    </row>
    <row r="128" spans="1:21">
      <c r="A128" s="383"/>
      <c r="B128" s="384"/>
      <c r="C128" s="385" t="s">
        <v>282</v>
      </c>
      <c r="D128" s="432" t="s">
        <v>311</v>
      </c>
      <c r="E128" s="388">
        <v>30</v>
      </c>
      <c r="F128" s="433" t="s">
        <v>104</v>
      </c>
      <c r="G128" s="390">
        <v>171</v>
      </c>
      <c r="H128" s="390">
        <f t="shared" si="17"/>
        <v>5130</v>
      </c>
      <c r="I128" s="390">
        <v>30</v>
      </c>
      <c r="J128" s="389">
        <f t="shared" si="18"/>
        <v>900</v>
      </c>
      <c r="K128" s="434">
        <f t="shared" si="19"/>
        <v>201</v>
      </c>
      <c r="L128" s="486">
        <f t="shared" si="20"/>
        <v>6030</v>
      </c>
      <c r="N128" s="428"/>
      <c r="O128" s="316"/>
      <c r="P128" s="429"/>
      <c r="Q128" s="430"/>
      <c r="R128" s="539"/>
      <c r="S128" s="430">
        <f t="shared" si="21"/>
        <v>0</v>
      </c>
      <c r="T128" s="415"/>
      <c r="U128" s="431"/>
    </row>
    <row r="129" spans="1:21">
      <c r="A129" s="383"/>
      <c r="B129" s="384"/>
      <c r="C129" s="385" t="s">
        <v>312</v>
      </c>
      <c r="D129" s="432" t="s">
        <v>313</v>
      </c>
      <c r="E129" s="388"/>
      <c r="F129" s="433"/>
      <c r="G129" s="390"/>
      <c r="H129" s="390">
        <f t="shared" si="17"/>
        <v>0</v>
      </c>
      <c r="I129" s="390"/>
      <c r="J129" s="389">
        <f t="shared" si="18"/>
        <v>0</v>
      </c>
      <c r="K129" s="434">
        <f t="shared" si="19"/>
        <v>0</v>
      </c>
      <c r="L129" s="486">
        <f t="shared" si="20"/>
        <v>0</v>
      </c>
      <c r="N129" s="428"/>
      <c r="O129" s="316"/>
      <c r="P129" s="429"/>
      <c r="Q129" s="430"/>
      <c r="R129" s="539"/>
      <c r="S129" s="430">
        <f t="shared" si="21"/>
        <v>0</v>
      </c>
      <c r="T129" s="415"/>
      <c r="U129" s="431"/>
    </row>
    <row r="130" spans="1:21">
      <c r="A130" s="383"/>
      <c r="B130" s="384"/>
      <c r="C130" s="385" t="s">
        <v>282</v>
      </c>
      <c r="D130" s="432" t="s">
        <v>314</v>
      </c>
      <c r="E130" s="388">
        <v>220</v>
      </c>
      <c r="F130" s="433" t="s">
        <v>104</v>
      </c>
      <c r="G130" s="390">
        <v>593</v>
      </c>
      <c r="H130" s="390">
        <f t="shared" si="17"/>
        <v>130460</v>
      </c>
      <c r="I130" s="390">
        <v>65</v>
      </c>
      <c r="J130" s="389">
        <f t="shared" si="18"/>
        <v>14300</v>
      </c>
      <c r="K130" s="434">
        <f t="shared" si="19"/>
        <v>658</v>
      </c>
      <c r="L130" s="486">
        <f t="shared" si="20"/>
        <v>144760</v>
      </c>
      <c r="N130" s="428"/>
      <c r="O130" s="316"/>
      <c r="P130" s="429"/>
      <c r="Q130" s="430"/>
      <c r="R130" s="539"/>
      <c r="S130" s="430">
        <f t="shared" si="21"/>
        <v>0</v>
      </c>
      <c r="T130" s="415"/>
      <c r="U130" s="431"/>
    </row>
    <row r="131" spans="1:21">
      <c r="A131" s="383"/>
      <c r="B131" s="437">
        <v>3.3</v>
      </c>
      <c r="C131" s="487" t="s">
        <v>315</v>
      </c>
      <c r="D131" s="432"/>
      <c r="E131" s="388"/>
      <c r="F131" s="433"/>
      <c r="G131" s="390"/>
      <c r="H131" s="390">
        <f t="shared" si="17"/>
        <v>0</v>
      </c>
      <c r="I131" s="390"/>
      <c r="J131" s="389">
        <f t="shared" si="18"/>
        <v>0</v>
      </c>
      <c r="K131" s="434">
        <f t="shared" si="19"/>
        <v>0</v>
      </c>
      <c r="L131" s="486">
        <f t="shared" si="20"/>
        <v>0</v>
      </c>
      <c r="N131" s="428"/>
      <c r="O131" s="316"/>
      <c r="P131" s="429"/>
      <c r="Q131" s="430"/>
      <c r="R131" s="539"/>
      <c r="S131" s="430">
        <f t="shared" si="21"/>
        <v>0</v>
      </c>
      <c r="T131" s="415"/>
      <c r="U131" s="431"/>
    </row>
    <row r="132" spans="1:21">
      <c r="A132" s="383"/>
      <c r="B132" s="384"/>
      <c r="C132" s="385" t="s">
        <v>316</v>
      </c>
      <c r="D132" s="432" t="s">
        <v>317</v>
      </c>
      <c r="E132" s="388"/>
      <c r="F132" s="433"/>
      <c r="G132" s="390"/>
      <c r="H132" s="390">
        <f t="shared" si="17"/>
        <v>0</v>
      </c>
      <c r="I132" s="390"/>
      <c r="J132" s="389">
        <f t="shared" si="18"/>
        <v>0</v>
      </c>
      <c r="K132" s="434">
        <f t="shared" si="19"/>
        <v>0</v>
      </c>
      <c r="L132" s="486">
        <f t="shared" si="20"/>
        <v>0</v>
      </c>
      <c r="N132" s="428"/>
      <c r="O132" s="316"/>
      <c r="P132" s="429"/>
      <c r="Q132" s="430"/>
      <c r="R132" s="539"/>
      <c r="S132" s="430">
        <f t="shared" si="21"/>
        <v>0</v>
      </c>
      <c r="T132" s="415"/>
      <c r="U132" s="431"/>
    </row>
    <row r="133" spans="1:21">
      <c r="A133" s="383"/>
      <c r="B133" s="384"/>
      <c r="C133" s="385" t="s">
        <v>282</v>
      </c>
      <c r="D133" s="432" t="s">
        <v>318</v>
      </c>
      <c r="E133" s="388">
        <v>1844</v>
      </c>
      <c r="F133" s="433" t="s">
        <v>104</v>
      </c>
      <c r="G133" s="390">
        <v>44</v>
      </c>
      <c r="H133" s="390">
        <f t="shared" si="17"/>
        <v>81136</v>
      </c>
      <c r="I133" s="390">
        <v>18</v>
      </c>
      <c r="J133" s="389">
        <f t="shared" si="18"/>
        <v>33192</v>
      </c>
      <c r="K133" s="434">
        <f t="shared" si="19"/>
        <v>62</v>
      </c>
      <c r="L133" s="486">
        <f t="shared" si="20"/>
        <v>114328</v>
      </c>
      <c r="N133" s="428"/>
      <c r="O133" s="316"/>
      <c r="P133" s="429"/>
      <c r="Q133" s="430"/>
      <c r="R133" s="539"/>
      <c r="S133" s="430">
        <f t="shared" si="21"/>
        <v>0</v>
      </c>
      <c r="T133" s="415"/>
      <c r="U133" s="431"/>
    </row>
    <row r="134" spans="1:21">
      <c r="A134" s="383"/>
      <c r="B134" s="384"/>
      <c r="C134" s="385" t="s">
        <v>282</v>
      </c>
      <c r="D134" s="432" t="s">
        <v>319</v>
      </c>
      <c r="E134" s="388">
        <v>80</v>
      </c>
      <c r="F134" s="433" t="s">
        <v>104</v>
      </c>
      <c r="G134" s="390">
        <v>64</v>
      </c>
      <c r="H134" s="390">
        <f t="shared" si="17"/>
        <v>5120</v>
      </c>
      <c r="I134" s="390">
        <v>26</v>
      </c>
      <c r="J134" s="389">
        <f t="shared" si="18"/>
        <v>2080</v>
      </c>
      <c r="K134" s="434">
        <f t="shared" si="19"/>
        <v>90</v>
      </c>
      <c r="L134" s="486">
        <f t="shared" si="20"/>
        <v>7200</v>
      </c>
      <c r="N134" s="428"/>
      <c r="O134" s="316"/>
      <c r="P134" s="429"/>
      <c r="Q134" s="430"/>
      <c r="R134" s="539"/>
      <c r="S134" s="430">
        <f t="shared" si="21"/>
        <v>0</v>
      </c>
      <c r="T134" s="415"/>
      <c r="U134" s="431"/>
    </row>
    <row r="135" spans="1:21">
      <c r="A135" s="383"/>
      <c r="B135" s="384"/>
      <c r="C135" s="385" t="s">
        <v>320</v>
      </c>
      <c r="D135" s="432" t="s">
        <v>321</v>
      </c>
      <c r="E135" s="388"/>
      <c r="F135" s="433"/>
      <c r="G135" s="390"/>
      <c r="H135" s="390">
        <f t="shared" si="17"/>
        <v>0</v>
      </c>
      <c r="I135" s="390"/>
      <c r="J135" s="389">
        <f t="shared" si="18"/>
        <v>0</v>
      </c>
      <c r="K135" s="434">
        <f t="shared" si="19"/>
        <v>0</v>
      </c>
      <c r="L135" s="486">
        <f t="shared" si="20"/>
        <v>0</v>
      </c>
      <c r="N135" s="428"/>
      <c r="O135" s="316"/>
      <c r="P135" s="429"/>
      <c r="Q135" s="430"/>
      <c r="R135" s="539"/>
      <c r="S135" s="430">
        <f t="shared" si="21"/>
        <v>0</v>
      </c>
      <c r="T135" s="415"/>
      <c r="U135" s="431"/>
    </row>
    <row r="136" spans="1:21">
      <c r="A136" s="383"/>
      <c r="B136" s="384"/>
      <c r="C136" s="385" t="s">
        <v>282</v>
      </c>
      <c r="D136" s="432" t="s">
        <v>322</v>
      </c>
      <c r="E136" s="388">
        <v>17</v>
      </c>
      <c r="F136" s="433" t="s">
        <v>104</v>
      </c>
      <c r="G136" s="390">
        <v>365</v>
      </c>
      <c r="H136" s="390">
        <f t="shared" si="17"/>
        <v>6205</v>
      </c>
      <c r="I136" s="390">
        <v>91</v>
      </c>
      <c r="J136" s="389">
        <f t="shared" si="18"/>
        <v>1547</v>
      </c>
      <c r="K136" s="434">
        <f t="shared" si="19"/>
        <v>456</v>
      </c>
      <c r="L136" s="486">
        <f t="shared" si="20"/>
        <v>7752</v>
      </c>
      <c r="N136" s="428"/>
      <c r="O136" s="316"/>
      <c r="P136" s="429"/>
      <c r="Q136" s="430"/>
      <c r="R136" s="539"/>
      <c r="S136" s="430">
        <f t="shared" si="21"/>
        <v>0</v>
      </c>
      <c r="T136" s="415"/>
      <c r="U136" s="431"/>
    </row>
    <row r="137" spans="1:21">
      <c r="A137" s="383"/>
      <c r="B137" s="384"/>
      <c r="C137" s="385" t="s">
        <v>282</v>
      </c>
      <c r="D137" s="432" t="s">
        <v>323</v>
      </c>
      <c r="E137" s="388">
        <v>9</v>
      </c>
      <c r="F137" s="433" t="s">
        <v>104</v>
      </c>
      <c r="G137" s="390">
        <v>934</v>
      </c>
      <c r="H137" s="390">
        <f t="shared" si="17"/>
        <v>8406</v>
      </c>
      <c r="I137" s="390">
        <v>195</v>
      </c>
      <c r="J137" s="389">
        <f t="shared" si="18"/>
        <v>1755</v>
      </c>
      <c r="K137" s="434">
        <f t="shared" si="19"/>
        <v>1129</v>
      </c>
      <c r="L137" s="486">
        <f t="shared" si="20"/>
        <v>10161</v>
      </c>
      <c r="N137" s="428"/>
      <c r="O137" s="316"/>
      <c r="P137" s="429"/>
      <c r="Q137" s="430"/>
      <c r="R137" s="539"/>
      <c r="S137" s="430">
        <f t="shared" si="21"/>
        <v>0</v>
      </c>
      <c r="T137" s="415"/>
      <c r="U137" s="431"/>
    </row>
    <row r="138" spans="1:21">
      <c r="A138" s="383"/>
      <c r="B138" s="384"/>
      <c r="C138" s="385" t="s">
        <v>324</v>
      </c>
      <c r="D138" s="432" t="s">
        <v>325</v>
      </c>
      <c r="E138" s="388"/>
      <c r="F138" s="433"/>
      <c r="G138" s="390"/>
      <c r="H138" s="390">
        <f t="shared" si="17"/>
        <v>0</v>
      </c>
      <c r="I138" s="390"/>
      <c r="J138" s="389">
        <f t="shared" si="18"/>
        <v>0</v>
      </c>
      <c r="K138" s="434">
        <f t="shared" si="19"/>
        <v>0</v>
      </c>
      <c r="L138" s="486">
        <f t="shared" si="20"/>
        <v>0</v>
      </c>
      <c r="N138" s="428"/>
      <c r="O138" s="316"/>
      <c r="P138" s="429"/>
      <c r="Q138" s="430"/>
      <c r="R138" s="539"/>
      <c r="S138" s="430">
        <f t="shared" si="21"/>
        <v>0</v>
      </c>
      <c r="T138" s="415"/>
      <c r="U138" s="431"/>
    </row>
    <row r="139" spans="1:21">
      <c r="A139" s="383"/>
      <c r="B139" s="384"/>
      <c r="C139" s="385" t="s">
        <v>282</v>
      </c>
      <c r="D139" s="432" t="s">
        <v>326</v>
      </c>
      <c r="E139" s="388">
        <v>10</v>
      </c>
      <c r="F139" s="433" t="s">
        <v>104</v>
      </c>
      <c r="G139" s="390">
        <v>18</v>
      </c>
      <c r="H139" s="390">
        <f t="shared" si="17"/>
        <v>180</v>
      </c>
      <c r="I139" s="390">
        <v>10</v>
      </c>
      <c r="J139" s="389">
        <f t="shared" si="18"/>
        <v>100</v>
      </c>
      <c r="K139" s="434">
        <f t="shared" si="19"/>
        <v>28</v>
      </c>
      <c r="L139" s="486">
        <f t="shared" si="20"/>
        <v>280</v>
      </c>
      <c r="N139" s="428"/>
      <c r="O139" s="316"/>
      <c r="P139" s="429"/>
      <c r="Q139" s="430"/>
      <c r="R139" s="539"/>
      <c r="S139" s="430">
        <f t="shared" si="21"/>
        <v>0</v>
      </c>
      <c r="T139" s="415"/>
      <c r="U139" s="431"/>
    </row>
    <row r="140" spans="1:21">
      <c r="A140" s="383"/>
      <c r="B140" s="384"/>
      <c r="C140" s="385" t="s">
        <v>327</v>
      </c>
      <c r="D140" s="432" t="s">
        <v>328</v>
      </c>
      <c r="E140" s="388"/>
      <c r="F140" s="433"/>
      <c r="G140" s="390"/>
      <c r="H140" s="390">
        <f t="shared" si="17"/>
        <v>0</v>
      </c>
      <c r="I140" s="390"/>
      <c r="J140" s="389">
        <f t="shared" si="18"/>
        <v>0</v>
      </c>
      <c r="K140" s="434">
        <f t="shared" si="19"/>
        <v>0</v>
      </c>
      <c r="L140" s="486">
        <f t="shared" si="20"/>
        <v>0</v>
      </c>
      <c r="N140" s="428"/>
      <c r="O140" s="316"/>
      <c r="P140" s="429"/>
      <c r="Q140" s="430"/>
      <c r="R140" s="539"/>
      <c r="S140" s="430">
        <f t="shared" si="21"/>
        <v>0</v>
      </c>
      <c r="T140" s="415"/>
      <c r="U140" s="431"/>
    </row>
    <row r="141" spans="1:21">
      <c r="A141" s="383"/>
      <c r="B141" s="384"/>
      <c r="C141" s="385" t="s">
        <v>282</v>
      </c>
      <c r="D141" s="432" t="s">
        <v>329</v>
      </c>
      <c r="E141" s="388">
        <v>60</v>
      </c>
      <c r="F141" s="433" t="s">
        <v>104</v>
      </c>
      <c r="G141" s="390">
        <v>550</v>
      </c>
      <c r="H141" s="390">
        <f t="shared" si="17"/>
        <v>33000</v>
      </c>
      <c r="I141" s="390">
        <v>75</v>
      </c>
      <c r="J141" s="389">
        <f t="shared" si="18"/>
        <v>4500</v>
      </c>
      <c r="K141" s="434">
        <f t="shared" si="19"/>
        <v>625</v>
      </c>
      <c r="L141" s="486">
        <f t="shared" si="20"/>
        <v>37500</v>
      </c>
      <c r="N141" s="428"/>
      <c r="O141" s="316"/>
      <c r="P141" s="429"/>
      <c r="Q141" s="430"/>
      <c r="R141" s="539"/>
      <c r="S141" s="430">
        <f t="shared" si="21"/>
        <v>0</v>
      </c>
      <c r="T141" s="415"/>
      <c r="U141" s="431"/>
    </row>
    <row r="142" spans="1:21">
      <c r="A142" s="383"/>
      <c r="B142" s="384"/>
      <c r="C142" s="385" t="s">
        <v>282</v>
      </c>
      <c r="D142" s="432" t="s">
        <v>330</v>
      </c>
      <c r="E142" s="388">
        <v>63</v>
      </c>
      <c r="F142" s="433" t="s">
        <v>104</v>
      </c>
      <c r="G142" s="390">
        <v>673</v>
      </c>
      <c r="H142" s="390">
        <f t="shared" si="17"/>
        <v>42399</v>
      </c>
      <c r="I142" s="390">
        <v>100</v>
      </c>
      <c r="J142" s="389">
        <f t="shared" si="18"/>
        <v>6300</v>
      </c>
      <c r="K142" s="434">
        <f t="shared" si="19"/>
        <v>773</v>
      </c>
      <c r="L142" s="486">
        <f t="shared" si="20"/>
        <v>48699</v>
      </c>
      <c r="N142" s="428"/>
      <c r="O142" s="316"/>
      <c r="P142" s="429"/>
      <c r="Q142" s="430"/>
      <c r="R142" s="539"/>
      <c r="S142" s="430">
        <f t="shared" si="21"/>
        <v>0</v>
      </c>
      <c r="T142" s="415"/>
      <c r="U142" s="431"/>
    </row>
    <row r="143" spans="1:21">
      <c r="A143" s="383"/>
      <c r="B143" s="384"/>
      <c r="C143" s="385" t="s">
        <v>331</v>
      </c>
      <c r="D143" s="432" t="s">
        <v>332</v>
      </c>
      <c r="E143" s="388"/>
      <c r="F143" s="433"/>
      <c r="G143" s="390"/>
      <c r="H143" s="390">
        <f t="shared" si="17"/>
        <v>0</v>
      </c>
      <c r="I143" s="390"/>
      <c r="J143" s="389">
        <f t="shared" si="18"/>
        <v>0</v>
      </c>
      <c r="K143" s="434">
        <f t="shared" si="19"/>
        <v>0</v>
      </c>
      <c r="L143" s="486">
        <f t="shared" si="20"/>
        <v>0</v>
      </c>
      <c r="N143" s="428"/>
      <c r="O143" s="316"/>
      <c r="P143" s="429"/>
      <c r="Q143" s="430"/>
      <c r="R143" s="539"/>
      <c r="S143" s="430">
        <f t="shared" si="21"/>
        <v>0</v>
      </c>
      <c r="T143" s="415"/>
      <c r="U143" s="431"/>
    </row>
    <row r="144" spans="1:21">
      <c r="A144" s="383"/>
      <c r="B144" s="384"/>
      <c r="C144" s="385" t="s">
        <v>282</v>
      </c>
      <c r="D144" s="432" t="s">
        <v>318</v>
      </c>
      <c r="E144" s="388">
        <v>160</v>
      </c>
      <c r="F144" s="433" t="s">
        <v>104</v>
      </c>
      <c r="G144" s="390">
        <v>10</v>
      </c>
      <c r="H144" s="390">
        <f t="shared" si="17"/>
        <v>1600</v>
      </c>
      <c r="I144" s="390">
        <v>4</v>
      </c>
      <c r="J144" s="389">
        <f t="shared" si="18"/>
        <v>640</v>
      </c>
      <c r="K144" s="434">
        <f t="shared" si="19"/>
        <v>14</v>
      </c>
      <c r="L144" s="486">
        <f t="shared" si="20"/>
        <v>2240</v>
      </c>
      <c r="N144" s="428"/>
      <c r="O144" s="316"/>
      <c r="P144" s="429"/>
      <c r="Q144" s="430"/>
      <c r="R144" s="539"/>
      <c r="S144" s="430">
        <f t="shared" si="21"/>
        <v>0</v>
      </c>
      <c r="T144" s="415"/>
      <c r="U144" s="431"/>
    </row>
    <row r="145" spans="1:21">
      <c r="A145" s="383"/>
      <c r="B145" s="384"/>
      <c r="C145" s="385" t="s">
        <v>282</v>
      </c>
      <c r="D145" s="432" t="s">
        <v>319</v>
      </c>
      <c r="E145" s="388">
        <v>40</v>
      </c>
      <c r="F145" s="433" t="s">
        <v>104</v>
      </c>
      <c r="G145" s="390">
        <v>15</v>
      </c>
      <c r="H145" s="390">
        <f t="shared" si="17"/>
        <v>600</v>
      </c>
      <c r="I145" s="390">
        <v>6</v>
      </c>
      <c r="J145" s="389">
        <f t="shared" si="18"/>
        <v>240</v>
      </c>
      <c r="K145" s="434">
        <f t="shared" si="19"/>
        <v>21</v>
      </c>
      <c r="L145" s="486">
        <f t="shared" si="20"/>
        <v>840</v>
      </c>
      <c r="N145" s="428"/>
      <c r="O145" s="316"/>
      <c r="P145" s="429"/>
      <c r="Q145" s="430"/>
      <c r="R145" s="539"/>
      <c r="S145" s="430">
        <f t="shared" si="21"/>
        <v>0</v>
      </c>
      <c r="T145" s="415"/>
      <c r="U145" s="431"/>
    </row>
    <row r="146" spans="1:21">
      <c r="A146" s="383"/>
      <c r="B146" s="384"/>
      <c r="C146" s="385" t="s">
        <v>333</v>
      </c>
      <c r="D146" s="432" t="s">
        <v>334</v>
      </c>
      <c r="E146" s="388"/>
      <c r="F146" s="433"/>
      <c r="G146" s="390"/>
      <c r="H146" s="390">
        <f t="shared" si="17"/>
        <v>0</v>
      </c>
      <c r="I146" s="390"/>
      <c r="J146" s="389">
        <f t="shared" si="18"/>
        <v>0</v>
      </c>
      <c r="K146" s="434">
        <f t="shared" si="19"/>
        <v>0</v>
      </c>
      <c r="L146" s="486">
        <f t="shared" si="20"/>
        <v>0</v>
      </c>
      <c r="N146" s="428"/>
      <c r="O146" s="316"/>
      <c r="P146" s="429"/>
      <c r="Q146" s="430"/>
      <c r="R146" s="539"/>
      <c r="S146" s="430">
        <f t="shared" si="21"/>
        <v>0</v>
      </c>
      <c r="T146" s="415"/>
      <c r="U146" s="431"/>
    </row>
    <row r="147" spans="1:21">
      <c r="A147" s="383"/>
      <c r="B147" s="384"/>
      <c r="C147" s="385" t="s">
        <v>282</v>
      </c>
      <c r="D147" s="432" t="s">
        <v>335</v>
      </c>
      <c r="E147" s="388">
        <v>56</v>
      </c>
      <c r="F147" s="433" t="s">
        <v>104</v>
      </c>
      <c r="G147" s="390">
        <v>83</v>
      </c>
      <c r="H147" s="390">
        <f t="shared" si="17"/>
        <v>4648</v>
      </c>
      <c r="I147" s="390">
        <v>48</v>
      </c>
      <c r="J147" s="389">
        <f t="shared" si="18"/>
        <v>2688</v>
      </c>
      <c r="K147" s="434">
        <f t="shared" si="19"/>
        <v>131</v>
      </c>
      <c r="L147" s="486">
        <f t="shared" si="20"/>
        <v>7336</v>
      </c>
      <c r="N147" s="428"/>
      <c r="O147" s="316"/>
      <c r="P147" s="429"/>
      <c r="Q147" s="430"/>
      <c r="R147" s="539"/>
      <c r="S147" s="430">
        <f t="shared" si="21"/>
        <v>0</v>
      </c>
      <c r="T147" s="415"/>
      <c r="U147" s="431"/>
    </row>
    <row r="148" spans="1:21">
      <c r="A148" s="383"/>
      <c r="B148" s="384"/>
      <c r="C148" s="385" t="s">
        <v>282</v>
      </c>
      <c r="D148" s="432" t="s">
        <v>336</v>
      </c>
      <c r="E148" s="388">
        <v>28</v>
      </c>
      <c r="F148" s="433" t="s">
        <v>104</v>
      </c>
      <c r="G148" s="390">
        <v>248</v>
      </c>
      <c r="H148" s="390">
        <f t="shared" si="17"/>
        <v>6944</v>
      </c>
      <c r="I148" s="390">
        <v>79</v>
      </c>
      <c r="J148" s="389">
        <f t="shared" si="18"/>
        <v>2212</v>
      </c>
      <c r="K148" s="434">
        <f t="shared" si="19"/>
        <v>327</v>
      </c>
      <c r="L148" s="486">
        <f t="shared" si="20"/>
        <v>9156</v>
      </c>
      <c r="N148" s="428"/>
      <c r="O148" s="316"/>
      <c r="P148" s="429"/>
      <c r="Q148" s="430"/>
      <c r="R148" s="539"/>
      <c r="S148" s="430">
        <f t="shared" si="21"/>
        <v>0</v>
      </c>
      <c r="T148" s="415"/>
      <c r="U148" s="431"/>
    </row>
    <row r="149" spans="1:21">
      <c r="A149" s="383"/>
      <c r="B149" s="384"/>
      <c r="C149" s="385" t="s">
        <v>337</v>
      </c>
      <c r="D149" s="432" t="s">
        <v>338</v>
      </c>
      <c r="E149" s="388">
        <v>2</v>
      </c>
      <c r="F149" s="433" t="s">
        <v>284</v>
      </c>
      <c r="G149" s="390">
        <v>4000</v>
      </c>
      <c r="H149" s="390">
        <f t="shared" si="17"/>
        <v>8000</v>
      </c>
      <c r="I149" s="390">
        <v>950</v>
      </c>
      <c r="J149" s="389">
        <f t="shared" si="18"/>
        <v>1900</v>
      </c>
      <c r="K149" s="434">
        <f t="shared" si="19"/>
        <v>4950</v>
      </c>
      <c r="L149" s="486">
        <f t="shared" si="20"/>
        <v>9900</v>
      </c>
      <c r="N149" s="428"/>
      <c r="O149" s="316"/>
      <c r="P149" s="429"/>
      <c r="Q149" s="430"/>
      <c r="R149" s="539"/>
      <c r="S149" s="430">
        <f t="shared" si="21"/>
        <v>0</v>
      </c>
      <c r="T149" s="415"/>
      <c r="U149" s="431"/>
    </row>
    <row r="150" spans="1:21">
      <c r="A150" s="383"/>
      <c r="B150" s="384"/>
      <c r="C150" s="385" t="s">
        <v>337</v>
      </c>
      <c r="D150" s="432" t="s">
        <v>339</v>
      </c>
      <c r="E150" s="388">
        <v>1</v>
      </c>
      <c r="F150" s="433" t="s">
        <v>340</v>
      </c>
      <c r="G150" s="390">
        <v>15300</v>
      </c>
      <c r="H150" s="390">
        <f t="shared" si="17"/>
        <v>15300</v>
      </c>
      <c r="I150" s="390">
        <v>8500</v>
      </c>
      <c r="J150" s="389">
        <f t="shared" si="18"/>
        <v>8500</v>
      </c>
      <c r="K150" s="434">
        <f t="shared" si="19"/>
        <v>23800</v>
      </c>
      <c r="L150" s="486">
        <f t="shared" si="20"/>
        <v>23800</v>
      </c>
      <c r="N150" s="428"/>
      <c r="O150" s="316"/>
      <c r="P150" s="429"/>
      <c r="Q150" s="430"/>
      <c r="R150" s="539"/>
      <c r="S150" s="430">
        <f t="shared" si="21"/>
        <v>0</v>
      </c>
      <c r="T150" s="415"/>
      <c r="U150" s="431"/>
    </row>
    <row r="151" spans="1:21">
      <c r="A151" s="383"/>
      <c r="B151" s="437">
        <v>3.4</v>
      </c>
      <c r="C151" s="487" t="s">
        <v>341</v>
      </c>
      <c r="D151" s="432"/>
      <c r="E151" s="388"/>
      <c r="F151" s="433"/>
      <c r="G151" s="390"/>
      <c r="H151" s="390">
        <f t="shared" si="17"/>
        <v>0</v>
      </c>
      <c r="I151" s="390"/>
      <c r="J151" s="389">
        <f t="shared" si="18"/>
        <v>0</v>
      </c>
      <c r="K151" s="434">
        <f t="shared" si="19"/>
        <v>0</v>
      </c>
      <c r="L151" s="486">
        <f t="shared" si="20"/>
        <v>0</v>
      </c>
      <c r="N151" s="428"/>
      <c r="O151" s="316"/>
      <c r="P151" s="429"/>
      <c r="Q151" s="430"/>
      <c r="R151" s="539"/>
      <c r="S151" s="430">
        <f t="shared" si="21"/>
        <v>0</v>
      </c>
      <c r="T151" s="415"/>
      <c r="U151" s="431"/>
    </row>
    <row r="152" spans="1:21" ht="37.5">
      <c r="A152" s="383"/>
      <c r="B152" s="384"/>
      <c r="C152" s="385" t="s">
        <v>342</v>
      </c>
      <c r="D152" s="432" t="s">
        <v>343</v>
      </c>
      <c r="E152" s="388">
        <v>6</v>
      </c>
      <c r="F152" s="433" t="s">
        <v>284</v>
      </c>
      <c r="G152" s="390">
        <v>625</v>
      </c>
      <c r="H152" s="390">
        <f t="shared" si="17"/>
        <v>3750</v>
      </c>
      <c r="I152" s="390">
        <v>120</v>
      </c>
      <c r="J152" s="389">
        <f t="shared" si="18"/>
        <v>720</v>
      </c>
      <c r="K152" s="434">
        <f t="shared" si="19"/>
        <v>745</v>
      </c>
      <c r="L152" s="486">
        <f t="shared" si="20"/>
        <v>4470</v>
      </c>
      <c r="N152" s="428"/>
      <c r="O152" s="316"/>
      <c r="P152" s="429"/>
      <c r="Q152" s="430"/>
      <c r="R152" s="539"/>
      <c r="S152" s="430">
        <f t="shared" si="21"/>
        <v>0</v>
      </c>
      <c r="T152" s="415"/>
      <c r="U152" s="431"/>
    </row>
    <row r="153" spans="1:21" ht="37.5">
      <c r="A153" s="383"/>
      <c r="B153" s="384"/>
      <c r="C153" s="385"/>
      <c r="D153" s="432" t="s">
        <v>344</v>
      </c>
      <c r="E153" s="388">
        <v>34</v>
      </c>
      <c r="F153" s="433" t="s">
        <v>284</v>
      </c>
      <c r="G153" s="390">
        <v>0</v>
      </c>
      <c r="H153" s="390">
        <f t="shared" si="17"/>
        <v>0</v>
      </c>
      <c r="I153" s="390">
        <v>120</v>
      </c>
      <c r="J153" s="389">
        <f t="shared" si="18"/>
        <v>4080</v>
      </c>
      <c r="K153" s="434">
        <f t="shared" si="19"/>
        <v>120</v>
      </c>
      <c r="L153" s="486">
        <f t="shared" si="20"/>
        <v>4080</v>
      </c>
      <c r="N153" s="428"/>
      <c r="O153" s="316"/>
      <c r="P153" s="429"/>
      <c r="Q153" s="430"/>
      <c r="R153" s="539"/>
      <c r="S153" s="430">
        <f t="shared" si="21"/>
        <v>0</v>
      </c>
      <c r="T153" s="415"/>
      <c r="U153" s="431"/>
    </row>
    <row r="154" spans="1:21" ht="37.5">
      <c r="A154" s="383"/>
      <c r="B154" s="384"/>
      <c r="C154" s="385"/>
      <c r="D154" s="432" t="s">
        <v>345</v>
      </c>
      <c r="E154" s="388">
        <v>40</v>
      </c>
      <c r="F154" s="433" t="s">
        <v>284</v>
      </c>
      <c r="G154" s="390">
        <v>249</v>
      </c>
      <c r="H154" s="390">
        <f t="shared" si="17"/>
        <v>9960</v>
      </c>
      <c r="I154" s="390">
        <v>45</v>
      </c>
      <c r="J154" s="389">
        <f t="shared" si="18"/>
        <v>1800</v>
      </c>
      <c r="K154" s="434">
        <f t="shared" si="19"/>
        <v>294</v>
      </c>
      <c r="L154" s="486">
        <f t="shared" si="20"/>
        <v>11760</v>
      </c>
      <c r="N154" s="428"/>
      <c r="O154" s="316"/>
      <c r="P154" s="429"/>
      <c r="Q154" s="430"/>
      <c r="R154" s="539"/>
      <c r="S154" s="430">
        <f t="shared" si="21"/>
        <v>0</v>
      </c>
      <c r="T154" s="415"/>
      <c r="U154" s="431"/>
    </row>
    <row r="155" spans="1:21" ht="37.5">
      <c r="A155" s="383"/>
      <c r="B155" s="384"/>
      <c r="C155" s="447" t="s">
        <v>346</v>
      </c>
      <c r="D155" s="432" t="s">
        <v>347</v>
      </c>
      <c r="E155" s="388">
        <v>40</v>
      </c>
      <c r="F155" s="433" t="s">
        <v>284</v>
      </c>
      <c r="G155" s="390">
        <v>490</v>
      </c>
      <c r="H155" s="390">
        <f t="shared" si="17"/>
        <v>19600</v>
      </c>
      <c r="I155" s="390">
        <v>120</v>
      </c>
      <c r="J155" s="389">
        <f t="shared" si="18"/>
        <v>4800</v>
      </c>
      <c r="K155" s="434">
        <f t="shared" si="19"/>
        <v>610</v>
      </c>
      <c r="L155" s="486">
        <f t="shared" si="20"/>
        <v>24400</v>
      </c>
      <c r="N155" s="428"/>
      <c r="O155" s="316"/>
      <c r="P155" s="429"/>
      <c r="Q155" s="430"/>
      <c r="R155" s="539"/>
      <c r="S155" s="430">
        <f t="shared" si="21"/>
        <v>0</v>
      </c>
      <c r="T155" s="415"/>
      <c r="U155" s="431"/>
    </row>
    <row r="156" spans="1:21" ht="37.5">
      <c r="A156" s="383"/>
      <c r="B156" s="384"/>
      <c r="C156" s="447"/>
      <c r="D156" s="432" t="s">
        <v>348</v>
      </c>
      <c r="E156" s="388">
        <v>40</v>
      </c>
      <c r="F156" s="433" t="s">
        <v>284</v>
      </c>
      <c r="G156" s="390">
        <v>0</v>
      </c>
      <c r="H156" s="390">
        <f t="shared" si="17"/>
        <v>0</v>
      </c>
      <c r="I156" s="390">
        <v>120</v>
      </c>
      <c r="J156" s="389">
        <f t="shared" si="18"/>
        <v>4800</v>
      </c>
      <c r="K156" s="434">
        <f t="shared" si="19"/>
        <v>120</v>
      </c>
      <c r="L156" s="486">
        <f t="shared" si="20"/>
        <v>4800</v>
      </c>
      <c r="N156" s="428"/>
      <c r="O156" s="316"/>
      <c r="P156" s="429"/>
      <c r="Q156" s="430"/>
      <c r="R156" s="539"/>
      <c r="S156" s="430">
        <f t="shared" si="21"/>
        <v>0</v>
      </c>
      <c r="T156" s="415"/>
      <c r="U156" s="431"/>
    </row>
    <row r="157" spans="1:21" ht="37.5">
      <c r="A157" s="383"/>
      <c r="B157" s="384"/>
      <c r="C157" s="447"/>
      <c r="D157" s="432" t="s">
        <v>349</v>
      </c>
      <c r="E157" s="388">
        <v>40</v>
      </c>
      <c r="F157" s="433" t="s">
        <v>284</v>
      </c>
      <c r="G157" s="390">
        <v>179</v>
      </c>
      <c r="H157" s="390">
        <f t="shared" si="17"/>
        <v>7160</v>
      </c>
      <c r="I157" s="390">
        <v>45</v>
      </c>
      <c r="J157" s="389">
        <f t="shared" si="18"/>
        <v>1800</v>
      </c>
      <c r="K157" s="434">
        <f t="shared" si="19"/>
        <v>224</v>
      </c>
      <c r="L157" s="486">
        <f t="shared" si="20"/>
        <v>8960</v>
      </c>
      <c r="N157" s="428"/>
      <c r="O157" s="316"/>
      <c r="P157" s="429"/>
      <c r="Q157" s="430"/>
      <c r="R157" s="539"/>
      <c r="S157" s="430">
        <f t="shared" si="21"/>
        <v>0</v>
      </c>
      <c r="T157" s="415"/>
      <c r="U157" s="431"/>
    </row>
    <row r="158" spans="1:21">
      <c r="A158" s="383"/>
      <c r="B158" s="384"/>
      <c r="C158" s="447" t="s">
        <v>350</v>
      </c>
      <c r="D158" s="432" t="s">
        <v>351</v>
      </c>
      <c r="E158" s="388">
        <v>60</v>
      </c>
      <c r="F158" s="433" t="s">
        <v>284</v>
      </c>
      <c r="G158" s="390">
        <v>360</v>
      </c>
      <c r="H158" s="390">
        <f t="shared" si="17"/>
        <v>21600</v>
      </c>
      <c r="I158" s="390">
        <v>120</v>
      </c>
      <c r="J158" s="389">
        <f t="shared" si="18"/>
        <v>7200</v>
      </c>
      <c r="K158" s="434">
        <f t="shared" si="19"/>
        <v>480</v>
      </c>
      <c r="L158" s="486">
        <f t="shared" si="20"/>
        <v>28800</v>
      </c>
      <c r="N158" s="428"/>
      <c r="O158" s="316"/>
      <c r="P158" s="429"/>
      <c r="Q158" s="430"/>
      <c r="R158" s="539"/>
      <c r="S158" s="430">
        <f t="shared" si="21"/>
        <v>0</v>
      </c>
      <c r="T158" s="415"/>
      <c r="U158" s="431"/>
    </row>
    <row r="159" spans="1:21" s="549" customFormat="1">
      <c r="A159" s="542"/>
      <c r="B159" s="543"/>
      <c r="C159" s="544"/>
      <c r="D159" s="545" t="s">
        <v>352</v>
      </c>
      <c r="E159" s="546">
        <v>60</v>
      </c>
      <c r="F159" s="547" t="s">
        <v>284</v>
      </c>
      <c r="G159" s="390">
        <v>0</v>
      </c>
      <c r="H159" s="390">
        <f t="shared" si="17"/>
        <v>0</v>
      </c>
      <c r="I159" s="390">
        <v>120</v>
      </c>
      <c r="J159" s="390">
        <f t="shared" si="18"/>
        <v>7200</v>
      </c>
      <c r="K159" s="548">
        <f t="shared" si="19"/>
        <v>120</v>
      </c>
      <c r="L159" s="486">
        <f t="shared" si="20"/>
        <v>7200</v>
      </c>
      <c r="N159" s="550"/>
      <c r="O159" s="551"/>
      <c r="P159" s="429"/>
      <c r="Q159" s="430"/>
      <c r="R159" s="539"/>
      <c r="S159" s="430">
        <f t="shared" si="21"/>
        <v>0</v>
      </c>
      <c r="T159" s="430"/>
      <c r="U159" s="431"/>
    </row>
    <row r="160" spans="1:21" ht="37.5">
      <c r="A160" s="383"/>
      <c r="B160" s="384"/>
      <c r="C160" s="447"/>
      <c r="D160" s="432" t="s">
        <v>353</v>
      </c>
      <c r="E160" s="388">
        <v>60</v>
      </c>
      <c r="F160" s="433" t="s">
        <v>284</v>
      </c>
      <c r="G160" s="390">
        <v>130</v>
      </c>
      <c r="H160" s="390">
        <f t="shared" si="17"/>
        <v>7800</v>
      </c>
      <c r="I160" s="390">
        <v>35</v>
      </c>
      <c r="J160" s="389">
        <f t="shared" si="18"/>
        <v>2100</v>
      </c>
      <c r="K160" s="434">
        <f t="shared" si="19"/>
        <v>165</v>
      </c>
      <c r="L160" s="486">
        <f t="shared" si="20"/>
        <v>9900</v>
      </c>
      <c r="N160" s="428"/>
      <c r="O160" s="316"/>
      <c r="P160" s="429"/>
      <c r="Q160" s="430"/>
      <c r="R160" s="539"/>
      <c r="S160" s="430">
        <f t="shared" si="21"/>
        <v>0</v>
      </c>
      <c r="T160" s="415"/>
      <c r="U160" s="431"/>
    </row>
    <row r="161" spans="1:21" ht="37.5">
      <c r="A161" s="383"/>
      <c r="B161" s="384"/>
      <c r="C161" s="385" t="s">
        <v>354</v>
      </c>
      <c r="D161" s="432" t="s">
        <v>355</v>
      </c>
      <c r="E161" s="388">
        <v>5</v>
      </c>
      <c r="F161" s="433" t="s">
        <v>284</v>
      </c>
      <c r="G161" s="390">
        <v>2500</v>
      </c>
      <c r="H161" s="390">
        <f t="shared" si="17"/>
        <v>12500</v>
      </c>
      <c r="I161" s="390">
        <v>120</v>
      </c>
      <c r="J161" s="389">
        <f t="shared" si="18"/>
        <v>600</v>
      </c>
      <c r="K161" s="434">
        <f t="shared" si="19"/>
        <v>2620</v>
      </c>
      <c r="L161" s="486">
        <f t="shared" si="20"/>
        <v>13100</v>
      </c>
      <c r="N161" s="428"/>
      <c r="O161" s="316"/>
      <c r="P161" s="429"/>
      <c r="Q161" s="430"/>
      <c r="R161" s="539"/>
      <c r="S161" s="430">
        <f t="shared" si="21"/>
        <v>0</v>
      </c>
      <c r="T161" s="415"/>
      <c r="U161" s="431"/>
    </row>
    <row r="162" spans="1:21">
      <c r="A162" s="383"/>
      <c r="B162" s="384"/>
      <c r="C162" s="385" t="s">
        <v>356</v>
      </c>
      <c r="D162" s="432" t="s">
        <v>357</v>
      </c>
      <c r="E162" s="388">
        <v>1</v>
      </c>
      <c r="F162" s="433" t="s">
        <v>284</v>
      </c>
      <c r="G162" s="390">
        <v>3400</v>
      </c>
      <c r="H162" s="390">
        <f t="shared" si="17"/>
        <v>3400</v>
      </c>
      <c r="I162" s="390">
        <v>120</v>
      </c>
      <c r="J162" s="389">
        <f t="shared" si="18"/>
        <v>120</v>
      </c>
      <c r="K162" s="434">
        <f t="shared" si="19"/>
        <v>3520</v>
      </c>
      <c r="L162" s="486">
        <f t="shared" si="20"/>
        <v>3520</v>
      </c>
      <c r="N162" s="428"/>
      <c r="O162" s="316"/>
      <c r="P162" s="429"/>
      <c r="Q162" s="430"/>
      <c r="R162" s="539"/>
      <c r="S162" s="430">
        <f t="shared" si="21"/>
        <v>0</v>
      </c>
      <c r="T162" s="415"/>
      <c r="U162" s="431"/>
    </row>
    <row r="163" spans="1:21">
      <c r="A163" s="383"/>
      <c r="B163" s="437">
        <v>3.5</v>
      </c>
      <c r="C163" s="487" t="s">
        <v>358</v>
      </c>
      <c r="D163" s="432"/>
      <c r="E163" s="388"/>
      <c r="F163" s="433"/>
      <c r="G163" s="390"/>
      <c r="H163" s="390">
        <f t="shared" si="17"/>
        <v>0</v>
      </c>
      <c r="I163" s="390"/>
      <c r="J163" s="389">
        <f t="shared" si="18"/>
        <v>0</v>
      </c>
      <c r="K163" s="434">
        <f t="shared" si="19"/>
        <v>0</v>
      </c>
      <c r="L163" s="486">
        <f t="shared" si="20"/>
        <v>0</v>
      </c>
      <c r="N163" s="428"/>
      <c r="O163" s="316"/>
      <c r="P163" s="429"/>
      <c r="Q163" s="430"/>
      <c r="R163" s="539"/>
      <c r="S163" s="430">
        <f t="shared" si="21"/>
        <v>0</v>
      </c>
      <c r="T163" s="415"/>
      <c r="U163" s="431"/>
    </row>
    <row r="164" spans="1:21">
      <c r="A164" s="383"/>
      <c r="B164" s="384"/>
      <c r="C164" s="385" t="s">
        <v>359</v>
      </c>
      <c r="D164" s="432" t="s">
        <v>360</v>
      </c>
      <c r="E164" s="388">
        <v>87</v>
      </c>
      <c r="F164" s="433" t="s">
        <v>284</v>
      </c>
      <c r="G164" s="390">
        <v>65</v>
      </c>
      <c r="H164" s="390">
        <f t="shared" si="17"/>
        <v>5655</v>
      </c>
      <c r="I164" s="390">
        <v>88</v>
      </c>
      <c r="J164" s="389">
        <f t="shared" si="18"/>
        <v>7656</v>
      </c>
      <c r="K164" s="434">
        <f t="shared" si="19"/>
        <v>153</v>
      </c>
      <c r="L164" s="486">
        <f t="shared" si="20"/>
        <v>13311</v>
      </c>
      <c r="N164" s="428"/>
      <c r="O164" s="316"/>
      <c r="P164" s="429"/>
      <c r="Q164" s="430"/>
      <c r="R164" s="539"/>
      <c r="S164" s="430">
        <f t="shared" si="21"/>
        <v>0</v>
      </c>
      <c r="T164" s="415"/>
      <c r="U164" s="431"/>
    </row>
    <row r="165" spans="1:21">
      <c r="A165" s="383"/>
      <c r="B165" s="384"/>
      <c r="C165" s="385" t="s">
        <v>361</v>
      </c>
      <c r="D165" s="432" t="s">
        <v>362</v>
      </c>
      <c r="E165" s="388">
        <v>20</v>
      </c>
      <c r="F165" s="433" t="s">
        <v>284</v>
      </c>
      <c r="G165" s="390">
        <v>198</v>
      </c>
      <c r="H165" s="390">
        <f t="shared" si="17"/>
        <v>3960</v>
      </c>
      <c r="I165" s="390">
        <v>88</v>
      </c>
      <c r="J165" s="389">
        <f t="shared" si="18"/>
        <v>1760</v>
      </c>
      <c r="K165" s="434">
        <f t="shared" si="19"/>
        <v>286</v>
      </c>
      <c r="L165" s="486">
        <f t="shared" si="20"/>
        <v>5720</v>
      </c>
      <c r="N165" s="428"/>
      <c r="O165" s="316"/>
      <c r="P165" s="429"/>
      <c r="Q165" s="430"/>
      <c r="R165" s="539"/>
      <c r="S165" s="430">
        <f t="shared" si="21"/>
        <v>0</v>
      </c>
      <c r="T165" s="415"/>
      <c r="U165" s="431"/>
    </row>
    <row r="166" spans="1:21" ht="37.5">
      <c r="A166" s="383"/>
      <c r="B166" s="384"/>
      <c r="C166" s="385" t="s">
        <v>363</v>
      </c>
      <c r="D166" s="432" t="s">
        <v>364</v>
      </c>
      <c r="E166" s="388">
        <v>119</v>
      </c>
      <c r="F166" s="433" t="s">
        <v>284</v>
      </c>
      <c r="G166" s="390">
        <v>215</v>
      </c>
      <c r="H166" s="390">
        <f t="shared" ref="H166:H229" si="22">E166*G166</f>
        <v>25585</v>
      </c>
      <c r="I166" s="390">
        <v>88</v>
      </c>
      <c r="J166" s="389">
        <f t="shared" ref="J166:J229" si="23">E166*I166</f>
        <v>10472</v>
      </c>
      <c r="K166" s="434">
        <f t="shared" ref="K166:K229" si="24">I166+G166</f>
        <v>303</v>
      </c>
      <c r="L166" s="486">
        <f t="shared" ref="L166:L229" si="25">H166+J166</f>
        <v>36057</v>
      </c>
      <c r="N166" s="428"/>
      <c r="O166" s="316"/>
      <c r="P166" s="429"/>
      <c r="Q166" s="430"/>
      <c r="R166" s="539"/>
      <c r="S166" s="430">
        <f t="shared" si="21"/>
        <v>0</v>
      </c>
      <c r="T166" s="415"/>
      <c r="U166" s="431"/>
    </row>
    <row r="167" spans="1:21">
      <c r="A167" s="383"/>
      <c r="B167" s="437">
        <v>3.6</v>
      </c>
      <c r="C167" s="487" t="s">
        <v>365</v>
      </c>
      <c r="D167" s="432"/>
      <c r="E167" s="388"/>
      <c r="F167" s="433"/>
      <c r="G167" s="390"/>
      <c r="H167" s="390">
        <f t="shared" si="22"/>
        <v>0</v>
      </c>
      <c r="I167" s="390"/>
      <c r="J167" s="389">
        <f t="shared" si="23"/>
        <v>0</v>
      </c>
      <c r="K167" s="434">
        <f t="shared" si="24"/>
        <v>0</v>
      </c>
      <c r="L167" s="486">
        <f t="shared" si="25"/>
        <v>0</v>
      </c>
      <c r="N167" s="428"/>
      <c r="O167" s="316"/>
      <c r="P167" s="429"/>
      <c r="Q167" s="430"/>
      <c r="R167" s="539"/>
      <c r="S167" s="430">
        <f t="shared" si="21"/>
        <v>0</v>
      </c>
      <c r="T167" s="415"/>
      <c r="U167" s="431"/>
    </row>
    <row r="168" spans="1:21">
      <c r="A168" s="383"/>
      <c r="B168" s="384"/>
      <c r="C168" s="385" t="s">
        <v>366</v>
      </c>
      <c r="D168" s="432" t="s">
        <v>367</v>
      </c>
      <c r="E168" s="388">
        <v>3</v>
      </c>
      <c r="F168" s="433" t="s">
        <v>284</v>
      </c>
      <c r="G168" s="390">
        <v>1500</v>
      </c>
      <c r="H168" s="390">
        <f t="shared" si="22"/>
        <v>4500</v>
      </c>
      <c r="I168" s="390">
        <v>350</v>
      </c>
      <c r="J168" s="389">
        <f t="shared" si="23"/>
        <v>1050</v>
      </c>
      <c r="K168" s="434">
        <f t="shared" si="24"/>
        <v>1850</v>
      </c>
      <c r="L168" s="486">
        <f t="shared" si="25"/>
        <v>5550</v>
      </c>
      <c r="N168" s="428"/>
      <c r="O168" s="316"/>
      <c r="P168" s="429"/>
      <c r="Q168" s="430"/>
      <c r="R168" s="539"/>
      <c r="S168" s="430">
        <f t="shared" si="21"/>
        <v>0</v>
      </c>
      <c r="T168" s="415"/>
      <c r="U168" s="431"/>
    </row>
    <row r="169" spans="1:21">
      <c r="A169" s="383"/>
      <c r="B169" s="384"/>
      <c r="C169" s="385" t="s">
        <v>368</v>
      </c>
      <c r="D169" s="432" t="s">
        <v>369</v>
      </c>
      <c r="E169" s="388">
        <v>1</v>
      </c>
      <c r="F169" s="433" t="s">
        <v>284</v>
      </c>
      <c r="G169" s="390">
        <v>2500</v>
      </c>
      <c r="H169" s="390">
        <f t="shared" si="22"/>
        <v>2500</v>
      </c>
      <c r="I169" s="390">
        <v>330</v>
      </c>
      <c r="J169" s="389">
        <f t="shared" si="23"/>
        <v>330</v>
      </c>
      <c r="K169" s="434">
        <f t="shared" si="24"/>
        <v>2830</v>
      </c>
      <c r="L169" s="486">
        <f t="shared" si="25"/>
        <v>2830</v>
      </c>
      <c r="N169" s="428"/>
      <c r="O169" s="316"/>
      <c r="P169" s="429"/>
      <c r="Q169" s="430"/>
      <c r="R169" s="539"/>
      <c r="S169" s="430">
        <f t="shared" si="21"/>
        <v>0</v>
      </c>
      <c r="T169" s="415"/>
      <c r="U169" s="431"/>
    </row>
    <row r="170" spans="1:21">
      <c r="A170" s="383"/>
      <c r="B170" s="384"/>
      <c r="C170" s="385" t="s">
        <v>370</v>
      </c>
      <c r="D170" s="432" t="s">
        <v>371</v>
      </c>
      <c r="E170" s="388">
        <v>1</v>
      </c>
      <c r="F170" s="433" t="s">
        <v>340</v>
      </c>
      <c r="G170" s="390">
        <v>1200</v>
      </c>
      <c r="H170" s="390">
        <f t="shared" si="22"/>
        <v>1200</v>
      </c>
      <c r="I170" s="390">
        <v>850</v>
      </c>
      <c r="J170" s="389">
        <f t="shared" si="23"/>
        <v>850</v>
      </c>
      <c r="K170" s="434">
        <f t="shared" si="24"/>
        <v>2050</v>
      </c>
      <c r="L170" s="486">
        <f t="shared" si="25"/>
        <v>2050</v>
      </c>
      <c r="N170" s="428"/>
      <c r="O170" s="316"/>
      <c r="P170" s="429"/>
      <c r="Q170" s="430"/>
      <c r="R170" s="539"/>
      <c r="S170" s="430">
        <f t="shared" si="21"/>
        <v>0</v>
      </c>
      <c r="T170" s="415"/>
      <c r="U170" s="431"/>
    </row>
    <row r="171" spans="1:21">
      <c r="A171" s="383"/>
      <c r="B171" s="437">
        <v>3.7</v>
      </c>
      <c r="C171" s="487" t="s">
        <v>372</v>
      </c>
      <c r="D171" s="432"/>
      <c r="E171" s="388"/>
      <c r="F171" s="433"/>
      <c r="G171" s="390"/>
      <c r="H171" s="390">
        <f t="shared" si="22"/>
        <v>0</v>
      </c>
      <c r="I171" s="390"/>
      <c r="J171" s="389">
        <f t="shared" si="23"/>
        <v>0</v>
      </c>
      <c r="K171" s="434">
        <f t="shared" si="24"/>
        <v>0</v>
      </c>
      <c r="L171" s="486">
        <f t="shared" si="25"/>
        <v>0</v>
      </c>
      <c r="N171" s="428"/>
      <c r="O171" s="316"/>
      <c r="P171" s="429"/>
      <c r="Q171" s="430"/>
      <c r="R171" s="539"/>
      <c r="S171" s="430">
        <f t="shared" ref="S171:S234" si="26">ROUND(R171*$S$9,0)</f>
        <v>0</v>
      </c>
      <c r="T171" s="415"/>
      <c r="U171" s="431"/>
    </row>
    <row r="172" spans="1:21">
      <c r="A172" s="383"/>
      <c r="B172" s="384"/>
      <c r="C172" s="385" t="s">
        <v>373</v>
      </c>
      <c r="D172" s="432" t="s">
        <v>374</v>
      </c>
      <c r="E172" s="388">
        <v>3</v>
      </c>
      <c r="F172" s="433" t="s">
        <v>284</v>
      </c>
      <c r="G172" s="390">
        <v>1611</v>
      </c>
      <c r="H172" s="390">
        <f t="shared" si="22"/>
        <v>4833</v>
      </c>
      <c r="I172" s="390">
        <v>88</v>
      </c>
      <c r="J172" s="389">
        <f t="shared" si="23"/>
        <v>264</v>
      </c>
      <c r="K172" s="434">
        <f t="shared" si="24"/>
        <v>1699</v>
      </c>
      <c r="L172" s="486">
        <f t="shared" si="25"/>
        <v>5097</v>
      </c>
      <c r="N172" s="428"/>
      <c r="O172" s="316"/>
      <c r="P172" s="429"/>
      <c r="Q172" s="430"/>
      <c r="R172" s="539"/>
      <c r="S172" s="430">
        <f t="shared" si="26"/>
        <v>0</v>
      </c>
      <c r="T172" s="415"/>
      <c r="U172" s="431"/>
    </row>
    <row r="173" spans="1:21">
      <c r="A173" s="383"/>
      <c r="B173" s="384"/>
      <c r="C173" s="385" t="s">
        <v>375</v>
      </c>
      <c r="D173" s="432" t="s">
        <v>376</v>
      </c>
      <c r="E173" s="388">
        <v>1</v>
      </c>
      <c r="F173" s="433" t="s">
        <v>284</v>
      </c>
      <c r="G173" s="390">
        <v>1320</v>
      </c>
      <c r="H173" s="390">
        <f t="shared" si="22"/>
        <v>1320</v>
      </c>
      <c r="I173" s="390">
        <v>88</v>
      </c>
      <c r="J173" s="389">
        <f t="shared" si="23"/>
        <v>88</v>
      </c>
      <c r="K173" s="434">
        <f t="shared" si="24"/>
        <v>1408</v>
      </c>
      <c r="L173" s="486">
        <f t="shared" si="25"/>
        <v>1408</v>
      </c>
      <c r="N173" s="428"/>
      <c r="O173" s="316"/>
      <c r="P173" s="429"/>
      <c r="Q173" s="430"/>
      <c r="R173" s="539"/>
      <c r="S173" s="430">
        <f t="shared" si="26"/>
        <v>0</v>
      </c>
      <c r="T173" s="415"/>
      <c r="U173" s="431"/>
    </row>
    <row r="174" spans="1:21">
      <c r="A174" s="383"/>
      <c r="B174" s="384"/>
      <c r="C174" s="385" t="s">
        <v>377</v>
      </c>
      <c r="D174" s="432" t="s">
        <v>378</v>
      </c>
      <c r="E174" s="388">
        <v>1</v>
      </c>
      <c r="F174" s="433" t="s">
        <v>284</v>
      </c>
      <c r="G174" s="390">
        <v>1887</v>
      </c>
      <c r="H174" s="390">
        <f t="shared" si="22"/>
        <v>1887</v>
      </c>
      <c r="I174" s="390">
        <v>88</v>
      </c>
      <c r="J174" s="389">
        <f t="shared" si="23"/>
        <v>88</v>
      </c>
      <c r="K174" s="434">
        <f t="shared" si="24"/>
        <v>1975</v>
      </c>
      <c r="L174" s="486">
        <f t="shared" si="25"/>
        <v>1975</v>
      </c>
      <c r="N174" s="428"/>
      <c r="O174" s="316"/>
      <c r="P174" s="429"/>
      <c r="Q174" s="430"/>
      <c r="R174" s="539"/>
      <c r="S174" s="430">
        <f t="shared" si="26"/>
        <v>0</v>
      </c>
      <c r="T174" s="415"/>
      <c r="U174" s="431"/>
    </row>
    <row r="175" spans="1:21">
      <c r="A175" s="383"/>
      <c r="B175" s="384"/>
      <c r="C175" s="385" t="s">
        <v>379</v>
      </c>
      <c r="D175" s="432" t="s">
        <v>380</v>
      </c>
      <c r="E175" s="388">
        <v>1</v>
      </c>
      <c r="F175" s="433" t="s">
        <v>284</v>
      </c>
      <c r="G175" s="390">
        <v>1850</v>
      </c>
      <c r="H175" s="390">
        <f t="shared" si="22"/>
        <v>1850</v>
      </c>
      <c r="I175" s="390">
        <v>450</v>
      </c>
      <c r="J175" s="389">
        <f t="shared" si="23"/>
        <v>450</v>
      </c>
      <c r="K175" s="434">
        <f t="shared" si="24"/>
        <v>2300</v>
      </c>
      <c r="L175" s="486">
        <f t="shared" si="25"/>
        <v>2300</v>
      </c>
      <c r="N175" s="428"/>
      <c r="O175" s="316"/>
      <c r="P175" s="429"/>
      <c r="Q175" s="430"/>
      <c r="R175" s="539"/>
      <c r="S175" s="430">
        <f t="shared" si="26"/>
        <v>0</v>
      </c>
      <c r="T175" s="415"/>
      <c r="U175" s="431"/>
    </row>
    <row r="176" spans="1:21">
      <c r="A176" s="383"/>
      <c r="B176" s="384"/>
      <c r="C176" s="385" t="s">
        <v>381</v>
      </c>
      <c r="D176" s="432" t="s">
        <v>382</v>
      </c>
      <c r="E176" s="388">
        <v>47</v>
      </c>
      <c r="F176" s="433" t="s">
        <v>284</v>
      </c>
      <c r="G176" s="390">
        <v>1050</v>
      </c>
      <c r="H176" s="390">
        <f t="shared" si="22"/>
        <v>49350</v>
      </c>
      <c r="I176" s="390">
        <v>165</v>
      </c>
      <c r="J176" s="389">
        <f t="shared" si="23"/>
        <v>7755</v>
      </c>
      <c r="K176" s="434">
        <f t="shared" si="24"/>
        <v>1215</v>
      </c>
      <c r="L176" s="486">
        <f t="shared" si="25"/>
        <v>57105</v>
      </c>
      <c r="N176" s="428"/>
      <c r="O176" s="316"/>
      <c r="P176" s="429"/>
      <c r="Q176" s="430"/>
      <c r="R176" s="539"/>
      <c r="S176" s="430">
        <f t="shared" si="26"/>
        <v>0</v>
      </c>
      <c r="T176" s="415"/>
      <c r="U176" s="431"/>
    </row>
    <row r="177" spans="1:21">
      <c r="A177" s="383"/>
      <c r="B177" s="384"/>
      <c r="C177" s="385" t="s">
        <v>383</v>
      </c>
      <c r="D177" s="432" t="s">
        <v>384</v>
      </c>
      <c r="E177" s="388">
        <v>1</v>
      </c>
      <c r="F177" s="433" t="s">
        <v>284</v>
      </c>
      <c r="G177" s="390">
        <v>920</v>
      </c>
      <c r="H177" s="390">
        <f t="shared" si="22"/>
        <v>920</v>
      </c>
      <c r="I177" s="390">
        <v>165</v>
      </c>
      <c r="J177" s="389">
        <f t="shared" si="23"/>
        <v>165</v>
      </c>
      <c r="K177" s="434">
        <f t="shared" si="24"/>
        <v>1085</v>
      </c>
      <c r="L177" s="486">
        <f t="shared" si="25"/>
        <v>1085</v>
      </c>
      <c r="N177" s="428"/>
      <c r="O177" s="316"/>
      <c r="P177" s="429"/>
      <c r="Q177" s="430"/>
      <c r="R177" s="539"/>
      <c r="S177" s="430">
        <f t="shared" si="26"/>
        <v>0</v>
      </c>
      <c r="T177" s="415"/>
      <c r="U177" s="431"/>
    </row>
    <row r="178" spans="1:21">
      <c r="A178" s="383"/>
      <c r="B178" s="384"/>
      <c r="C178" s="385" t="s">
        <v>385</v>
      </c>
      <c r="D178" s="432" t="s">
        <v>386</v>
      </c>
      <c r="E178" s="388">
        <v>3</v>
      </c>
      <c r="F178" s="433" t="s">
        <v>284</v>
      </c>
      <c r="G178" s="390">
        <v>927</v>
      </c>
      <c r="H178" s="390">
        <f t="shared" si="22"/>
        <v>2781</v>
      </c>
      <c r="I178" s="390">
        <v>209</v>
      </c>
      <c r="J178" s="389">
        <f t="shared" si="23"/>
        <v>627</v>
      </c>
      <c r="K178" s="434">
        <f t="shared" si="24"/>
        <v>1136</v>
      </c>
      <c r="L178" s="486">
        <f t="shared" si="25"/>
        <v>3408</v>
      </c>
      <c r="N178" s="428"/>
      <c r="O178" s="316"/>
      <c r="P178" s="429"/>
      <c r="Q178" s="430"/>
      <c r="R178" s="539"/>
      <c r="S178" s="430">
        <f t="shared" si="26"/>
        <v>0</v>
      </c>
      <c r="T178" s="415"/>
      <c r="U178" s="431"/>
    </row>
    <row r="179" spans="1:21">
      <c r="A179" s="383"/>
      <c r="B179" s="384"/>
      <c r="C179" s="385" t="s">
        <v>387</v>
      </c>
      <c r="D179" s="432" t="s">
        <v>304</v>
      </c>
      <c r="E179" s="388"/>
      <c r="F179" s="433"/>
      <c r="G179" s="390"/>
      <c r="H179" s="390">
        <f t="shared" si="22"/>
        <v>0</v>
      </c>
      <c r="I179" s="390"/>
      <c r="J179" s="389">
        <f t="shared" si="23"/>
        <v>0</v>
      </c>
      <c r="K179" s="434">
        <f t="shared" si="24"/>
        <v>0</v>
      </c>
      <c r="L179" s="486">
        <f t="shared" si="25"/>
        <v>0</v>
      </c>
      <c r="N179" s="428"/>
      <c r="O179" s="316"/>
      <c r="P179" s="429"/>
      <c r="Q179" s="430"/>
      <c r="R179" s="539"/>
      <c r="S179" s="430">
        <f t="shared" si="26"/>
        <v>0</v>
      </c>
      <c r="T179" s="415"/>
      <c r="U179" s="431"/>
    </row>
    <row r="180" spans="1:21">
      <c r="A180" s="383"/>
      <c r="B180" s="384"/>
      <c r="C180" s="385" t="s">
        <v>282</v>
      </c>
      <c r="D180" s="432" t="s">
        <v>388</v>
      </c>
      <c r="E180" s="388">
        <v>90</v>
      </c>
      <c r="F180" s="433" t="s">
        <v>104</v>
      </c>
      <c r="G180" s="390">
        <v>102</v>
      </c>
      <c r="H180" s="390">
        <f t="shared" si="22"/>
        <v>9180</v>
      </c>
      <c r="I180" s="390">
        <v>14</v>
      </c>
      <c r="J180" s="389">
        <f t="shared" si="23"/>
        <v>1260</v>
      </c>
      <c r="K180" s="434">
        <f t="shared" si="24"/>
        <v>116</v>
      </c>
      <c r="L180" s="486">
        <f t="shared" si="25"/>
        <v>10440</v>
      </c>
      <c r="N180" s="428"/>
      <c r="O180" s="316"/>
      <c r="P180" s="429"/>
      <c r="Q180" s="430"/>
      <c r="R180" s="539"/>
      <c r="S180" s="430">
        <f t="shared" si="26"/>
        <v>0</v>
      </c>
      <c r="T180" s="415"/>
      <c r="U180" s="431"/>
    </row>
    <row r="181" spans="1:21">
      <c r="A181" s="383"/>
      <c r="B181" s="384"/>
      <c r="C181" s="385" t="s">
        <v>282</v>
      </c>
      <c r="D181" s="432" t="s">
        <v>389</v>
      </c>
      <c r="E181" s="388">
        <v>312</v>
      </c>
      <c r="F181" s="433" t="s">
        <v>104</v>
      </c>
      <c r="G181" s="390">
        <v>35</v>
      </c>
      <c r="H181" s="390">
        <f t="shared" si="22"/>
        <v>10920</v>
      </c>
      <c r="I181" s="390">
        <v>11</v>
      </c>
      <c r="J181" s="389">
        <f t="shared" si="23"/>
        <v>3432</v>
      </c>
      <c r="K181" s="434">
        <f t="shared" si="24"/>
        <v>46</v>
      </c>
      <c r="L181" s="486">
        <f t="shared" si="25"/>
        <v>14352</v>
      </c>
      <c r="N181" s="428"/>
      <c r="O181" s="316"/>
      <c r="P181" s="429"/>
      <c r="Q181" s="430"/>
      <c r="R181" s="539"/>
      <c r="S181" s="430">
        <f t="shared" si="26"/>
        <v>0</v>
      </c>
      <c r="T181" s="415"/>
      <c r="U181" s="431"/>
    </row>
    <row r="182" spans="1:21">
      <c r="A182" s="383"/>
      <c r="B182" s="384"/>
      <c r="C182" s="385" t="s">
        <v>390</v>
      </c>
      <c r="D182" s="432" t="s">
        <v>315</v>
      </c>
      <c r="E182" s="388"/>
      <c r="F182" s="433"/>
      <c r="G182" s="390"/>
      <c r="H182" s="390">
        <f t="shared" si="22"/>
        <v>0</v>
      </c>
      <c r="I182" s="390"/>
      <c r="J182" s="389">
        <f t="shared" si="23"/>
        <v>0</v>
      </c>
      <c r="K182" s="434">
        <f t="shared" si="24"/>
        <v>0</v>
      </c>
      <c r="L182" s="486">
        <f t="shared" si="25"/>
        <v>0</v>
      </c>
      <c r="N182" s="428"/>
      <c r="O182" s="316"/>
      <c r="P182" s="429"/>
      <c r="Q182" s="430"/>
      <c r="R182" s="539"/>
      <c r="S182" s="430">
        <f t="shared" si="26"/>
        <v>0</v>
      </c>
      <c r="T182" s="415"/>
      <c r="U182" s="431"/>
    </row>
    <row r="183" spans="1:21">
      <c r="A183" s="383"/>
      <c r="B183" s="384"/>
      <c r="C183" s="385" t="s">
        <v>282</v>
      </c>
      <c r="D183" s="432" t="s">
        <v>318</v>
      </c>
      <c r="E183" s="388">
        <v>402</v>
      </c>
      <c r="F183" s="433" t="s">
        <v>104</v>
      </c>
      <c r="G183" s="390">
        <v>44</v>
      </c>
      <c r="H183" s="390">
        <f t="shared" si="22"/>
        <v>17688</v>
      </c>
      <c r="I183" s="390">
        <v>18</v>
      </c>
      <c r="J183" s="389">
        <f t="shared" si="23"/>
        <v>7236</v>
      </c>
      <c r="K183" s="434">
        <f t="shared" si="24"/>
        <v>62</v>
      </c>
      <c r="L183" s="486">
        <f t="shared" si="25"/>
        <v>24924</v>
      </c>
      <c r="N183" s="428"/>
      <c r="O183" s="316"/>
      <c r="P183" s="429"/>
      <c r="Q183" s="430"/>
      <c r="R183" s="539"/>
      <c r="S183" s="430">
        <f t="shared" si="26"/>
        <v>0</v>
      </c>
      <c r="T183" s="415"/>
      <c r="U183" s="431"/>
    </row>
    <row r="184" spans="1:21">
      <c r="A184" s="383"/>
      <c r="B184" s="384"/>
      <c r="C184" s="385" t="s">
        <v>282</v>
      </c>
      <c r="D184" s="432" t="s">
        <v>391</v>
      </c>
      <c r="E184" s="388">
        <v>47</v>
      </c>
      <c r="F184" s="433" t="s">
        <v>104</v>
      </c>
      <c r="G184" s="390">
        <v>10</v>
      </c>
      <c r="H184" s="390">
        <f t="shared" si="22"/>
        <v>470</v>
      </c>
      <c r="I184" s="390">
        <v>4</v>
      </c>
      <c r="J184" s="389">
        <f t="shared" si="23"/>
        <v>188</v>
      </c>
      <c r="K184" s="434">
        <f t="shared" si="24"/>
        <v>14</v>
      </c>
      <c r="L184" s="486">
        <f t="shared" si="25"/>
        <v>658</v>
      </c>
      <c r="N184" s="428"/>
      <c r="O184" s="316"/>
      <c r="P184" s="429"/>
      <c r="Q184" s="430"/>
      <c r="R184" s="539"/>
      <c r="S184" s="430">
        <f t="shared" si="26"/>
        <v>0</v>
      </c>
      <c r="T184" s="415"/>
      <c r="U184" s="431"/>
    </row>
    <row r="185" spans="1:21">
      <c r="A185" s="383"/>
      <c r="B185" s="384"/>
      <c r="C185" s="385" t="s">
        <v>392</v>
      </c>
      <c r="D185" s="432" t="s">
        <v>339</v>
      </c>
      <c r="E185" s="388">
        <v>1</v>
      </c>
      <c r="F185" s="433" t="s">
        <v>340</v>
      </c>
      <c r="G185" s="390">
        <v>6300</v>
      </c>
      <c r="H185" s="390">
        <f t="shared" si="22"/>
        <v>6300</v>
      </c>
      <c r="I185" s="390">
        <v>3500</v>
      </c>
      <c r="J185" s="389">
        <f t="shared" si="23"/>
        <v>3500</v>
      </c>
      <c r="K185" s="434">
        <f t="shared" si="24"/>
        <v>9800</v>
      </c>
      <c r="L185" s="486">
        <f t="shared" si="25"/>
        <v>9800</v>
      </c>
      <c r="N185" s="428"/>
      <c r="O185" s="316"/>
      <c r="P185" s="429"/>
      <c r="Q185" s="430"/>
      <c r="R185" s="539"/>
      <c r="S185" s="430">
        <f t="shared" si="26"/>
        <v>0</v>
      </c>
      <c r="T185" s="415"/>
      <c r="U185" s="431"/>
    </row>
    <row r="186" spans="1:21">
      <c r="A186" s="383"/>
      <c r="B186" s="437">
        <v>3.8</v>
      </c>
      <c r="C186" s="487" t="s">
        <v>393</v>
      </c>
      <c r="D186" s="432"/>
      <c r="E186" s="388"/>
      <c r="F186" s="433"/>
      <c r="G186" s="390"/>
      <c r="H186" s="390">
        <f t="shared" si="22"/>
        <v>0</v>
      </c>
      <c r="I186" s="390"/>
      <c r="J186" s="389">
        <f t="shared" si="23"/>
        <v>0</v>
      </c>
      <c r="K186" s="434">
        <f t="shared" si="24"/>
        <v>0</v>
      </c>
      <c r="L186" s="486">
        <f t="shared" si="25"/>
        <v>0</v>
      </c>
      <c r="N186" s="428"/>
      <c r="O186" s="316"/>
      <c r="P186" s="429"/>
      <c r="Q186" s="430"/>
      <c r="R186" s="539"/>
      <c r="S186" s="430">
        <f t="shared" si="26"/>
        <v>0</v>
      </c>
      <c r="T186" s="415"/>
      <c r="U186" s="431"/>
    </row>
    <row r="187" spans="1:21">
      <c r="A187" s="383"/>
      <c r="B187" s="384"/>
      <c r="C187" s="385" t="s">
        <v>394</v>
      </c>
      <c r="D187" s="432" t="s">
        <v>395</v>
      </c>
      <c r="E187" s="388">
        <v>3</v>
      </c>
      <c r="F187" s="433" t="s">
        <v>284</v>
      </c>
      <c r="G187" s="390">
        <v>375</v>
      </c>
      <c r="H187" s="390">
        <f t="shared" si="22"/>
        <v>1125</v>
      </c>
      <c r="I187" s="390">
        <v>110</v>
      </c>
      <c r="J187" s="389">
        <f t="shared" si="23"/>
        <v>330</v>
      </c>
      <c r="K187" s="434">
        <f t="shared" si="24"/>
        <v>485</v>
      </c>
      <c r="L187" s="486">
        <f t="shared" si="25"/>
        <v>1455</v>
      </c>
      <c r="N187" s="428"/>
      <c r="O187" s="316"/>
      <c r="P187" s="429"/>
      <c r="Q187" s="430"/>
      <c r="R187" s="539"/>
      <c r="S187" s="430">
        <f t="shared" si="26"/>
        <v>0</v>
      </c>
      <c r="T187" s="415"/>
      <c r="U187" s="431"/>
    </row>
    <row r="188" spans="1:21">
      <c r="A188" s="383"/>
      <c r="B188" s="384"/>
      <c r="C188" s="385" t="s">
        <v>396</v>
      </c>
      <c r="D188" s="432" t="s">
        <v>397</v>
      </c>
      <c r="E188" s="387">
        <v>1</v>
      </c>
      <c r="F188" s="433" t="s">
        <v>284</v>
      </c>
      <c r="G188" s="390">
        <v>3500</v>
      </c>
      <c r="H188" s="390">
        <f t="shared" si="22"/>
        <v>3500</v>
      </c>
      <c r="I188" s="390">
        <v>330</v>
      </c>
      <c r="J188" s="389">
        <f t="shared" si="23"/>
        <v>330</v>
      </c>
      <c r="K188" s="434">
        <f t="shared" si="24"/>
        <v>3830</v>
      </c>
      <c r="L188" s="486">
        <f t="shared" si="25"/>
        <v>3830</v>
      </c>
      <c r="N188" s="428"/>
      <c r="O188" s="316"/>
      <c r="P188" s="429"/>
      <c r="Q188" s="430"/>
      <c r="R188" s="539"/>
      <c r="S188" s="430">
        <f t="shared" si="26"/>
        <v>0</v>
      </c>
      <c r="T188" s="415"/>
      <c r="U188" s="431"/>
    </row>
    <row r="189" spans="1:21">
      <c r="A189" s="383"/>
      <c r="B189" s="384"/>
      <c r="C189" s="385" t="s">
        <v>398</v>
      </c>
      <c r="D189" s="432" t="s">
        <v>399</v>
      </c>
      <c r="E189" s="387"/>
      <c r="F189" s="433"/>
      <c r="G189" s="390"/>
      <c r="H189" s="390">
        <f t="shared" si="22"/>
        <v>0</v>
      </c>
      <c r="I189" s="390"/>
      <c r="J189" s="389">
        <f t="shared" si="23"/>
        <v>0</v>
      </c>
      <c r="K189" s="434">
        <f t="shared" si="24"/>
        <v>0</v>
      </c>
      <c r="L189" s="486">
        <f t="shared" si="25"/>
        <v>0</v>
      </c>
      <c r="N189" s="428"/>
      <c r="O189" s="316"/>
      <c r="P189" s="429"/>
      <c r="Q189" s="430"/>
      <c r="R189" s="539"/>
      <c r="S189" s="430">
        <f t="shared" si="26"/>
        <v>0</v>
      </c>
      <c r="T189" s="415"/>
      <c r="U189" s="431"/>
    </row>
    <row r="190" spans="1:21">
      <c r="A190" s="383"/>
      <c r="B190" s="384"/>
      <c r="C190" s="385" t="s">
        <v>282</v>
      </c>
      <c r="D190" s="432" t="s">
        <v>400</v>
      </c>
      <c r="E190" s="387">
        <v>1</v>
      </c>
      <c r="F190" s="433" t="s">
        <v>284</v>
      </c>
      <c r="G190" s="390">
        <v>3090</v>
      </c>
      <c r="H190" s="390">
        <f t="shared" si="22"/>
        <v>3090</v>
      </c>
      <c r="I190" s="390">
        <v>440</v>
      </c>
      <c r="J190" s="389">
        <f t="shared" si="23"/>
        <v>440</v>
      </c>
      <c r="K190" s="434">
        <f t="shared" si="24"/>
        <v>3530</v>
      </c>
      <c r="L190" s="486">
        <f t="shared" si="25"/>
        <v>3530</v>
      </c>
      <c r="N190" s="428"/>
      <c r="O190" s="316"/>
      <c r="P190" s="429"/>
      <c r="Q190" s="430"/>
      <c r="R190" s="539"/>
      <c r="S190" s="430">
        <f t="shared" si="26"/>
        <v>0</v>
      </c>
      <c r="T190" s="415"/>
      <c r="U190" s="431"/>
    </row>
    <row r="191" spans="1:21">
      <c r="A191" s="383"/>
      <c r="B191" s="384"/>
      <c r="C191" s="385" t="s">
        <v>401</v>
      </c>
      <c r="D191" s="432" t="s">
        <v>402</v>
      </c>
      <c r="E191" s="387">
        <v>1</v>
      </c>
      <c r="F191" s="433" t="s">
        <v>284</v>
      </c>
      <c r="G191" s="390">
        <v>320</v>
      </c>
      <c r="H191" s="390">
        <f t="shared" si="22"/>
        <v>320</v>
      </c>
      <c r="I191" s="390">
        <v>90</v>
      </c>
      <c r="J191" s="389">
        <f t="shared" si="23"/>
        <v>90</v>
      </c>
      <c r="K191" s="434">
        <f t="shared" si="24"/>
        <v>410</v>
      </c>
      <c r="L191" s="486">
        <f t="shared" si="25"/>
        <v>410</v>
      </c>
      <c r="N191" s="428"/>
      <c r="O191" s="316"/>
      <c r="P191" s="429"/>
      <c r="Q191" s="430"/>
      <c r="R191" s="539"/>
      <c r="S191" s="430">
        <f t="shared" si="26"/>
        <v>0</v>
      </c>
      <c r="T191" s="415"/>
      <c r="U191" s="431"/>
    </row>
    <row r="192" spans="1:21">
      <c r="A192" s="383"/>
      <c r="B192" s="384"/>
      <c r="C192" s="385" t="s">
        <v>403</v>
      </c>
      <c r="D192" s="432" t="s">
        <v>404</v>
      </c>
      <c r="E192" s="387">
        <v>1</v>
      </c>
      <c r="F192" s="433" t="s">
        <v>284</v>
      </c>
      <c r="G192" s="390">
        <v>880</v>
      </c>
      <c r="H192" s="390">
        <f t="shared" si="22"/>
        <v>880</v>
      </c>
      <c r="I192" s="390">
        <v>165</v>
      </c>
      <c r="J192" s="389">
        <f t="shared" si="23"/>
        <v>165</v>
      </c>
      <c r="K192" s="434">
        <f t="shared" si="24"/>
        <v>1045</v>
      </c>
      <c r="L192" s="486">
        <f t="shared" si="25"/>
        <v>1045</v>
      </c>
      <c r="N192" s="428"/>
      <c r="O192" s="316"/>
      <c r="P192" s="429"/>
      <c r="Q192" s="430"/>
      <c r="R192" s="539"/>
      <c r="S192" s="430">
        <f t="shared" si="26"/>
        <v>0</v>
      </c>
      <c r="T192" s="415"/>
      <c r="U192" s="431"/>
    </row>
    <row r="193" spans="1:21">
      <c r="A193" s="383"/>
      <c r="B193" s="384"/>
      <c r="C193" s="385" t="s">
        <v>405</v>
      </c>
      <c r="D193" s="432" t="s">
        <v>406</v>
      </c>
      <c r="E193" s="387">
        <v>1</v>
      </c>
      <c r="F193" s="433" t="s">
        <v>284</v>
      </c>
      <c r="G193" s="390">
        <v>360</v>
      </c>
      <c r="H193" s="390">
        <f t="shared" si="22"/>
        <v>360</v>
      </c>
      <c r="I193" s="390">
        <v>220</v>
      </c>
      <c r="J193" s="389">
        <f t="shared" si="23"/>
        <v>220</v>
      </c>
      <c r="K193" s="434">
        <f t="shared" si="24"/>
        <v>580</v>
      </c>
      <c r="L193" s="486">
        <f t="shared" si="25"/>
        <v>580</v>
      </c>
      <c r="N193" s="428"/>
      <c r="O193" s="316"/>
      <c r="P193" s="429"/>
      <c r="Q193" s="430"/>
      <c r="R193" s="539"/>
      <c r="S193" s="430">
        <f t="shared" si="26"/>
        <v>0</v>
      </c>
      <c r="T193" s="415"/>
      <c r="U193" s="431"/>
    </row>
    <row r="194" spans="1:21">
      <c r="A194" s="383"/>
      <c r="B194" s="384"/>
      <c r="C194" s="385" t="s">
        <v>407</v>
      </c>
      <c r="D194" s="432" t="s">
        <v>408</v>
      </c>
      <c r="E194" s="387"/>
      <c r="F194" s="433"/>
      <c r="G194" s="390"/>
      <c r="H194" s="390">
        <f t="shared" si="22"/>
        <v>0</v>
      </c>
      <c r="I194" s="390"/>
      <c r="J194" s="389">
        <f t="shared" si="23"/>
        <v>0</v>
      </c>
      <c r="K194" s="434">
        <f t="shared" si="24"/>
        <v>0</v>
      </c>
      <c r="L194" s="486">
        <f t="shared" si="25"/>
        <v>0</v>
      </c>
      <c r="N194" s="428"/>
      <c r="O194" s="316"/>
      <c r="P194" s="429"/>
      <c r="Q194" s="430"/>
      <c r="R194" s="539"/>
      <c r="S194" s="430">
        <f t="shared" si="26"/>
        <v>0</v>
      </c>
      <c r="T194" s="415"/>
      <c r="U194" s="431"/>
    </row>
    <row r="195" spans="1:21">
      <c r="A195" s="383"/>
      <c r="B195" s="384"/>
      <c r="C195" s="385" t="s">
        <v>282</v>
      </c>
      <c r="D195" s="432" t="s">
        <v>409</v>
      </c>
      <c r="E195" s="387">
        <v>1</v>
      </c>
      <c r="F195" s="433" t="s">
        <v>284</v>
      </c>
      <c r="G195" s="390">
        <v>3560</v>
      </c>
      <c r="H195" s="390">
        <f t="shared" si="22"/>
        <v>3560</v>
      </c>
      <c r="I195" s="390">
        <v>330</v>
      </c>
      <c r="J195" s="389">
        <f t="shared" si="23"/>
        <v>330</v>
      </c>
      <c r="K195" s="434">
        <f t="shared" si="24"/>
        <v>3890</v>
      </c>
      <c r="L195" s="486">
        <f t="shared" si="25"/>
        <v>3890</v>
      </c>
      <c r="N195" s="428"/>
      <c r="O195" s="316"/>
      <c r="P195" s="429"/>
      <c r="Q195" s="430"/>
      <c r="R195" s="539"/>
      <c r="S195" s="430">
        <f t="shared" si="26"/>
        <v>0</v>
      </c>
      <c r="T195" s="415"/>
      <c r="U195" s="431"/>
    </row>
    <row r="196" spans="1:21">
      <c r="A196" s="383"/>
      <c r="B196" s="384"/>
      <c r="C196" s="385" t="s">
        <v>410</v>
      </c>
      <c r="D196" s="432" t="s">
        <v>304</v>
      </c>
      <c r="E196" s="387"/>
      <c r="F196" s="433"/>
      <c r="G196" s="390"/>
      <c r="H196" s="390">
        <f t="shared" si="22"/>
        <v>0</v>
      </c>
      <c r="I196" s="390"/>
      <c r="J196" s="389">
        <f t="shared" si="23"/>
        <v>0</v>
      </c>
      <c r="K196" s="434">
        <f t="shared" si="24"/>
        <v>0</v>
      </c>
      <c r="L196" s="486">
        <f t="shared" si="25"/>
        <v>0</v>
      </c>
      <c r="N196" s="428"/>
      <c r="O196" s="316"/>
      <c r="P196" s="429"/>
      <c r="Q196" s="430"/>
      <c r="R196" s="539"/>
      <c r="S196" s="430">
        <f t="shared" si="26"/>
        <v>0</v>
      </c>
      <c r="T196" s="415"/>
      <c r="U196" s="431"/>
    </row>
    <row r="197" spans="1:21">
      <c r="A197" s="383"/>
      <c r="B197" s="384"/>
      <c r="C197" s="385" t="s">
        <v>282</v>
      </c>
      <c r="D197" s="432" t="s">
        <v>411</v>
      </c>
      <c r="E197" s="387">
        <v>68</v>
      </c>
      <c r="F197" s="433" t="s">
        <v>104</v>
      </c>
      <c r="G197" s="390">
        <v>15</v>
      </c>
      <c r="H197" s="390">
        <f t="shared" si="22"/>
        <v>1020</v>
      </c>
      <c r="I197" s="390">
        <v>12</v>
      </c>
      <c r="J197" s="389">
        <f t="shared" si="23"/>
        <v>816</v>
      </c>
      <c r="K197" s="434">
        <f t="shared" si="24"/>
        <v>27</v>
      </c>
      <c r="L197" s="486">
        <f t="shared" si="25"/>
        <v>1836</v>
      </c>
      <c r="N197" s="428"/>
      <c r="O197" s="316"/>
      <c r="P197" s="429"/>
      <c r="Q197" s="430"/>
      <c r="R197" s="539"/>
      <c r="S197" s="430">
        <f t="shared" si="26"/>
        <v>0</v>
      </c>
      <c r="T197" s="415"/>
      <c r="U197" s="431"/>
    </row>
    <row r="198" spans="1:21">
      <c r="A198" s="383"/>
      <c r="B198" s="384"/>
      <c r="C198" s="385" t="s">
        <v>412</v>
      </c>
      <c r="D198" s="432" t="s">
        <v>315</v>
      </c>
      <c r="E198" s="387"/>
      <c r="F198" s="433"/>
      <c r="G198" s="390"/>
      <c r="H198" s="390">
        <f t="shared" si="22"/>
        <v>0</v>
      </c>
      <c r="I198" s="390"/>
      <c r="J198" s="389">
        <f t="shared" si="23"/>
        <v>0</v>
      </c>
      <c r="K198" s="434">
        <f t="shared" si="24"/>
        <v>0</v>
      </c>
      <c r="L198" s="486">
        <f t="shared" si="25"/>
        <v>0</v>
      </c>
      <c r="N198" s="428"/>
      <c r="O198" s="316"/>
      <c r="P198" s="429"/>
      <c r="Q198" s="430"/>
      <c r="R198" s="539"/>
      <c r="S198" s="430">
        <f t="shared" si="26"/>
        <v>0</v>
      </c>
      <c r="T198" s="415"/>
      <c r="U198" s="431"/>
    </row>
    <row r="199" spans="1:21">
      <c r="A199" s="383"/>
      <c r="B199" s="384"/>
      <c r="C199" s="385" t="s">
        <v>282</v>
      </c>
      <c r="D199" s="432" t="s">
        <v>318</v>
      </c>
      <c r="E199" s="387">
        <v>3</v>
      </c>
      <c r="F199" s="433" t="s">
        <v>104</v>
      </c>
      <c r="G199" s="390">
        <v>44</v>
      </c>
      <c r="H199" s="390">
        <f t="shared" si="22"/>
        <v>132</v>
      </c>
      <c r="I199" s="390">
        <v>18</v>
      </c>
      <c r="J199" s="389">
        <f t="shared" si="23"/>
        <v>54</v>
      </c>
      <c r="K199" s="434">
        <f t="shared" si="24"/>
        <v>62</v>
      </c>
      <c r="L199" s="486">
        <f t="shared" si="25"/>
        <v>186</v>
      </c>
      <c r="N199" s="428"/>
      <c r="O199" s="316"/>
      <c r="P199" s="429"/>
      <c r="Q199" s="430"/>
      <c r="R199" s="539"/>
      <c r="S199" s="430">
        <f t="shared" si="26"/>
        <v>0</v>
      </c>
      <c r="T199" s="415"/>
      <c r="U199" s="431"/>
    </row>
    <row r="200" spans="1:21">
      <c r="A200" s="383"/>
      <c r="B200" s="384"/>
      <c r="C200" s="385" t="s">
        <v>282</v>
      </c>
      <c r="D200" s="432" t="s">
        <v>391</v>
      </c>
      <c r="E200" s="387">
        <v>3</v>
      </c>
      <c r="F200" s="433" t="s">
        <v>104</v>
      </c>
      <c r="G200" s="390">
        <v>10</v>
      </c>
      <c r="H200" s="390">
        <f t="shared" si="22"/>
        <v>30</v>
      </c>
      <c r="I200" s="390">
        <v>4</v>
      </c>
      <c r="J200" s="389">
        <f t="shared" si="23"/>
        <v>12</v>
      </c>
      <c r="K200" s="434">
        <f t="shared" si="24"/>
        <v>14</v>
      </c>
      <c r="L200" s="486">
        <f t="shared" si="25"/>
        <v>42</v>
      </c>
      <c r="N200" s="428"/>
      <c r="O200" s="316"/>
      <c r="P200" s="429"/>
      <c r="Q200" s="430"/>
      <c r="R200" s="539"/>
      <c r="S200" s="430">
        <f t="shared" si="26"/>
        <v>0</v>
      </c>
      <c r="T200" s="415"/>
      <c r="U200" s="431"/>
    </row>
    <row r="201" spans="1:21">
      <c r="A201" s="383"/>
      <c r="B201" s="384"/>
      <c r="C201" s="385" t="s">
        <v>413</v>
      </c>
      <c r="D201" s="432" t="s">
        <v>339</v>
      </c>
      <c r="E201" s="387">
        <v>1</v>
      </c>
      <c r="F201" s="433" t="s">
        <v>340</v>
      </c>
      <c r="G201" s="390">
        <v>5150</v>
      </c>
      <c r="H201" s="390">
        <f t="shared" si="22"/>
        <v>5150</v>
      </c>
      <c r="I201" s="390">
        <v>2750</v>
      </c>
      <c r="J201" s="389">
        <f t="shared" si="23"/>
        <v>2750</v>
      </c>
      <c r="K201" s="434">
        <f t="shared" si="24"/>
        <v>7900</v>
      </c>
      <c r="L201" s="486">
        <f t="shared" si="25"/>
        <v>7900</v>
      </c>
      <c r="N201" s="428"/>
      <c r="O201" s="316"/>
      <c r="P201" s="429"/>
      <c r="Q201" s="430"/>
      <c r="R201" s="539"/>
      <c r="S201" s="430">
        <f t="shared" si="26"/>
        <v>0</v>
      </c>
      <c r="T201" s="415"/>
      <c r="U201" s="431"/>
    </row>
    <row r="202" spans="1:21">
      <c r="A202" s="383"/>
      <c r="B202" s="437">
        <v>3.9</v>
      </c>
      <c r="C202" s="487" t="s">
        <v>414</v>
      </c>
      <c r="D202" s="432"/>
      <c r="E202" s="387"/>
      <c r="F202" s="433"/>
      <c r="G202" s="390"/>
      <c r="H202" s="390">
        <f t="shared" si="22"/>
        <v>0</v>
      </c>
      <c r="I202" s="390"/>
      <c r="J202" s="389">
        <f t="shared" si="23"/>
        <v>0</v>
      </c>
      <c r="K202" s="434">
        <f t="shared" si="24"/>
        <v>0</v>
      </c>
      <c r="L202" s="486">
        <f t="shared" si="25"/>
        <v>0</v>
      </c>
      <c r="N202" s="428"/>
      <c r="O202" s="316"/>
      <c r="P202" s="429"/>
      <c r="Q202" s="430"/>
      <c r="R202" s="539"/>
      <c r="S202" s="430">
        <f t="shared" si="26"/>
        <v>0</v>
      </c>
      <c r="T202" s="415"/>
      <c r="U202" s="431"/>
    </row>
    <row r="203" spans="1:21" ht="37.5">
      <c r="A203" s="383"/>
      <c r="B203" s="384"/>
      <c r="C203" s="385" t="s">
        <v>415</v>
      </c>
      <c r="D203" s="432" t="s">
        <v>416</v>
      </c>
      <c r="E203" s="387">
        <v>41</v>
      </c>
      <c r="F203" s="433" t="s">
        <v>284</v>
      </c>
      <c r="G203" s="390">
        <v>242</v>
      </c>
      <c r="H203" s="390">
        <f t="shared" si="22"/>
        <v>9922</v>
      </c>
      <c r="I203" s="390">
        <v>110</v>
      </c>
      <c r="J203" s="389">
        <f t="shared" si="23"/>
        <v>4510</v>
      </c>
      <c r="K203" s="434">
        <f t="shared" si="24"/>
        <v>352</v>
      </c>
      <c r="L203" s="486">
        <f t="shared" si="25"/>
        <v>14432</v>
      </c>
      <c r="N203" s="428"/>
      <c r="O203" s="316"/>
      <c r="P203" s="429"/>
      <c r="Q203" s="430"/>
      <c r="R203" s="539"/>
      <c r="S203" s="430">
        <f t="shared" si="26"/>
        <v>0</v>
      </c>
      <c r="T203" s="415"/>
      <c r="U203" s="431"/>
    </row>
    <row r="204" spans="1:21">
      <c r="A204" s="383"/>
      <c r="B204" s="384"/>
      <c r="C204" s="385" t="s">
        <v>417</v>
      </c>
      <c r="D204" s="432" t="s">
        <v>418</v>
      </c>
      <c r="E204" s="387">
        <v>6</v>
      </c>
      <c r="F204" s="433" t="s">
        <v>287</v>
      </c>
      <c r="G204" s="390">
        <v>100</v>
      </c>
      <c r="H204" s="390">
        <f t="shared" si="22"/>
        <v>600</v>
      </c>
      <c r="I204" s="390">
        <v>88</v>
      </c>
      <c r="J204" s="389">
        <f t="shared" si="23"/>
        <v>528</v>
      </c>
      <c r="K204" s="434">
        <f t="shared" si="24"/>
        <v>188</v>
      </c>
      <c r="L204" s="486">
        <f t="shared" si="25"/>
        <v>1128</v>
      </c>
      <c r="N204" s="428"/>
      <c r="O204" s="316"/>
      <c r="P204" s="429"/>
      <c r="Q204" s="430"/>
      <c r="R204" s="539"/>
      <c r="S204" s="430">
        <f t="shared" si="26"/>
        <v>0</v>
      </c>
      <c r="T204" s="415"/>
      <c r="U204" s="431"/>
    </row>
    <row r="205" spans="1:21">
      <c r="A205" s="383"/>
      <c r="B205" s="384"/>
      <c r="C205" s="385" t="s">
        <v>419</v>
      </c>
      <c r="D205" s="432" t="s">
        <v>420</v>
      </c>
      <c r="E205" s="387">
        <v>6</v>
      </c>
      <c r="F205" s="433" t="s">
        <v>287</v>
      </c>
      <c r="G205" s="390">
        <v>100</v>
      </c>
      <c r="H205" s="390">
        <f t="shared" si="22"/>
        <v>600</v>
      </c>
      <c r="I205" s="390">
        <v>88</v>
      </c>
      <c r="J205" s="389">
        <f t="shared" si="23"/>
        <v>528</v>
      </c>
      <c r="K205" s="434">
        <f t="shared" si="24"/>
        <v>188</v>
      </c>
      <c r="L205" s="486">
        <f t="shared" si="25"/>
        <v>1128</v>
      </c>
      <c r="N205" s="428"/>
      <c r="O205" s="316"/>
      <c r="P205" s="429"/>
      <c r="Q205" s="430"/>
      <c r="R205" s="539"/>
      <c r="S205" s="430">
        <f t="shared" si="26"/>
        <v>0</v>
      </c>
      <c r="T205" s="415"/>
      <c r="U205" s="431"/>
    </row>
    <row r="206" spans="1:21">
      <c r="A206" s="383"/>
      <c r="B206" s="384"/>
      <c r="C206" s="385" t="s">
        <v>421</v>
      </c>
      <c r="D206" s="432" t="s">
        <v>304</v>
      </c>
      <c r="E206" s="387"/>
      <c r="F206" s="433"/>
      <c r="G206" s="390"/>
      <c r="H206" s="390">
        <f t="shared" si="22"/>
        <v>0</v>
      </c>
      <c r="I206" s="390"/>
      <c r="J206" s="389">
        <f t="shared" si="23"/>
        <v>0</v>
      </c>
      <c r="K206" s="434">
        <f t="shared" si="24"/>
        <v>0</v>
      </c>
      <c r="L206" s="486">
        <f t="shared" si="25"/>
        <v>0</v>
      </c>
      <c r="N206" s="428"/>
      <c r="O206" s="316"/>
      <c r="P206" s="429"/>
      <c r="Q206" s="430"/>
      <c r="R206" s="539"/>
      <c r="S206" s="430">
        <f t="shared" si="26"/>
        <v>0</v>
      </c>
      <c r="T206" s="415"/>
      <c r="U206" s="431"/>
    </row>
    <row r="207" spans="1:21">
      <c r="A207" s="383"/>
      <c r="B207" s="384"/>
      <c r="C207" s="385" t="s">
        <v>282</v>
      </c>
      <c r="D207" s="432" t="s">
        <v>422</v>
      </c>
      <c r="E207" s="387">
        <v>488</v>
      </c>
      <c r="F207" s="433" t="s">
        <v>104</v>
      </c>
      <c r="G207" s="390">
        <v>18</v>
      </c>
      <c r="H207" s="390">
        <f t="shared" si="22"/>
        <v>8784</v>
      </c>
      <c r="I207" s="390">
        <v>12</v>
      </c>
      <c r="J207" s="389">
        <f t="shared" si="23"/>
        <v>5856</v>
      </c>
      <c r="K207" s="434">
        <f t="shared" si="24"/>
        <v>30</v>
      </c>
      <c r="L207" s="486">
        <f t="shared" si="25"/>
        <v>14640</v>
      </c>
      <c r="N207" s="428"/>
      <c r="O207" s="316"/>
      <c r="P207" s="429"/>
      <c r="Q207" s="430"/>
      <c r="R207" s="539"/>
      <c r="S207" s="430">
        <f t="shared" si="26"/>
        <v>0</v>
      </c>
      <c r="T207" s="415"/>
      <c r="U207" s="431"/>
    </row>
    <row r="208" spans="1:21">
      <c r="A208" s="383"/>
      <c r="B208" s="384"/>
      <c r="C208" s="385" t="s">
        <v>282</v>
      </c>
      <c r="D208" s="432" t="s">
        <v>423</v>
      </c>
      <c r="E208" s="387"/>
      <c r="F208" s="433"/>
      <c r="G208" s="390"/>
      <c r="H208" s="390">
        <f t="shared" si="22"/>
        <v>0</v>
      </c>
      <c r="I208" s="390"/>
      <c r="J208" s="389">
        <f t="shared" si="23"/>
        <v>0</v>
      </c>
      <c r="K208" s="434">
        <f t="shared" si="24"/>
        <v>0</v>
      </c>
      <c r="L208" s="486">
        <f t="shared" si="25"/>
        <v>0</v>
      </c>
      <c r="N208" s="428"/>
      <c r="O208" s="316"/>
      <c r="P208" s="429"/>
      <c r="Q208" s="430"/>
      <c r="R208" s="539"/>
      <c r="S208" s="430">
        <f t="shared" si="26"/>
        <v>0</v>
      </c>
      <c r="T208" s="415"/>
      <c r="U208" s="431"/>
    </row>
    <row r="209" spans="1:21">
      <c r="A209" s="383"/>
      <c r="B209" s="384"/>
      <c r="C209" s="385" t="s">
        <v>424</v>
      </c>
      <c r="D209" s="432" t="s">
        <v>315</v>
      </c>
      <c r="E209" s="387"/>
      <c r="F209" s="433"/>
      <c r="G209" s="390"/>
      <c r="H209" s="390">
        <f t="shared" si="22"/>
        <v>0</v>
      </c>
      <c r="I209" s="390"/>
      <c r="J209" s="389">
        <f t="shared" si="23"/>
        <v>0</v>
      </c>
      <c r="K209" s="434">
        <f t="shared" si="24"/>
        <v>0</v>
      </c>
      <c r="L209" s="486">
        <f t="shared" si="25"/>
        <v>0</v>
      </c>
      <c r="N209" s="428"/>
      <c r="O209" s="316"/>
      <c r="P209" s="429"/>
      <c r="Q209" s="430"/>
      <c r="R209" s="539"/>
      <c r="S209" s="430">
        <f t="shared" si="26"/>
        <v>0</v>
      </c>
      <c r="T209" s="415"/>
      <c r="U209" s="431"/>
    </row>
    <row r="210" spans="1:21">
      <c r="A210" s="383"/>
      <c r="B210" s="384"/>
      <c r="C210" s="385" t="s">
        <v>282</v>
      </c>
      <c r="D210" s="432" t="s">
        <v>318</v>
      </c>
      <c r="E210" s="387">
        <v>380</v>
      </c>
      <c r="F210" s="433" t="s">
        <v>104</v>
      </c>
      <c r="G210" s="390">
        <v>44</v>
      </c>
      <c r="H210" s="390">
        <f t="shared" si="22"/>
        <v>16720</v>
      </c>
      <c r="I210" s="390">
        <v>18</v>
      </c>
      <c r="J210" s="389">
        <f t="shared" si="23"/>
        <v>6840</v>
      </c>
      <c r="K210" s="434">
        <f t="shared" si="24"/>
        <v>62</v>
      </c>
      <c r="L210" s="486">
        <f t="shared" si="25"/>
        <v>23560</v>
      </c>
      <c r="N210" s="428"/>
      <c r="O210" s="316"/>
      <c r="P210" s="429"/>
      <c r="Q210" s="430"/>
      <c r="R210" s="539"/>
      <c r="S210" s="430">
        <f t="shared" si="26"/>
        <v>0</v>
      </c>
      <c r="T210" s="415"/>
      <c r="U210" s="431"/>
    </row>
    <row r="211" spans="1:21">
      <c r="A211" s="383"/>
      <c r="B211" s="384"/>
      <c r="C211" s="385" t="s">
        <v>425</v>
      </c>
      <c r="D211" s="432" t="s">
        <v>339</v>
      </c>
      <c r="E211" s="387">
        <v>1</v>
      </c>
      <c r="F211" s="433" t="s">
        <v>340</v>
      </c>
      <c r="G211" s="390">
        <v>5600</v>
      </c>
      <c r="H211" s="390">
        <f t="shared" si="22"/>
        <v>5600</v>
      </c>
      <c r="I211" s="390">
        <v>3000</v>
      </c>
      <c r="J211" s="389">
        <f t="shared" si="23"/>
        <v>3000</v>
      </c>
      <c r="K211" s="434">
        <f t="shared" si="24"/>
        <v>8600</v>
      </c>
      <c r="L211" s="486">
        <f t="shared" si="25"/>
        <v>8600</v>
      </c>
      <c r="N211" s="428"/>
      <c r="O211" s="316"/>
      <c r="P211" s="429"/>
      <c r="Q211" s="430"/>
      <c r="R211" s="539"/>
      <c r="S211" s="430">
        <f t="shared" si="26"/>
        <v>0</v>
      </c>
      <c r="T211" s="415"/>
      <c r="U211" s="431"/>
    </row>
    <row r="212" spans="1:21">
      <c r="A212" s="459"/>
      <c r="B212" s="460"/>
      <c r="C212" s="461"/>
      <c r="D212" s="462"/>
      <c r="E212" s="488"/>
      <c r="F212" s="464"/>
      <c r="G212" s="465"/>
      <c r="H212" s="465">
        <f t="shared" si="22"/>
        <v>0</v>
      </c>
      <c r="I212" s="465"/>
      <c r="J212" s="466">
        <f t="shared" si="23"/>
        <v>0</v>
      </c>
      <c r="K212" s="467">
        <f t="shared" si="24"/>
        <v>0</v>
      </c>
      <c r="L212" s="489">
        <f t="shared" si="25"/>
        <v>0</v>
      </c>
      <c r="N212" s="428"/>
      <c r="O212" s="316"/>
      <c r="P212" s="429"/>
      <c r="Q212" s="430"/>
      <c r="R212" s="539"/>
      <c r="S212" s="430">
        <f t="shared" si="26"/>
        <v>0</v>
      </c>
      <c r="T212" s="415"/>
      <c r="U212" s="431"/>
    </row>
    <row r="213" spans="1:21" ht="21">
      <c r="A213" s="405">
        <v>4</v>
      </c>
      <c r="B213" s="406" t="s">
        <v>426</v>
      </c>
      <c r="C213" s="407"/>
      <c r="D213" s="408"/>
      <c r="E213" s="490"/>
      <c r="F213" s="471"/>
      <c r="G213" s="472"/>
      <c r="H213" s="411">
        <f>SUM(H215:H233)</f>
        <v>298750</v>
      </c>
      <c r="I213" s="472"/>
      <c r="J213" s="411">
        <f>SUM(J215:J233)</f>
        <v>146600</v>
      </c>
      <c r="K213" s="474">
        <f t="shared" si="24"/>
        <v>0</v>
      </c>
      <c r="L213" s="491">
        <f>SUM(L215:L233)</f>
        <v>445350</v>
      </c>
      <c r="N213" s="428"/>
      <c r="O213" s="316"/>
      <c r="P213" s="429"/>
      <c r="Q213" s="430"/>
      <c r="R213" s="539"/>
      <c r="S213" s="430">
        <f t="shared" si="26"/>
        <v>0</v>
      </c>
      <c r="T213" s="415"/>
      <c r="U213" s="431"/>
    </row>
    <row r="214" spans="1:21">
      <c r="A214" s="476"/>
      <c r="B214" s="477">
        <v>4.0999999999999996</v>
      </c>
      <c r="C214" s="492" t="s">
        <v>427</v>
      </c>
      <c r="D214" s="493"/>
      <c r="E214" s="494"/>
      <c r="F214" s="481"/>
      <c r="G214" s="482"/>
      <c r="H214" s="482">
        <f t="shared" si="22"/>
        <v>0</v>
      </c>
      <c r="I214" s="482"/>
      <c r="J214" s="483">
        <f t="shared" si="23"/>
        <v>0</v>
      </c>
      <c r="K214" s="484">
        <f t="shared" si="24"/>
        <v>0</v>
      </c>
      <c r="L214" s="495">
        <f t="shared" si="25"/>
        <v>0</v>
      </c>
      <c r="N214" s="428"/>
      <c r="O214" s="316"/>
      <c r="P214" s="429"/>
      <c r="Q214" s="430"/>
      <c r="R214" s="539"/>
      <c r="S214" s="430">
        <f t="shared" si="26"/>
        <v>0</v>
      </c>
      <c r="T214" s="415"/>
      <c r="U214" s="431"/>
    </row>
    <row r="215" spans="1:21" s="549" customFormat="1" ht="37.5">
      <c r="A215" s="542"/>
      <c r="B215" s="543"/>
      <c r="C215" s="544" t="s">
        <v>428</v>
      </c>
      <c r="D215" s="545" t="s">
        <v>429</v>
      </c>
      <c r="E215" s="560">
        <v>20</v>
      </c>
      <c r="F215" s="547" t="s">
        <v>284</v>
      </c>
      <c r="G215" s="390">
        <v>13500</v>
      </c>
      <c r="H215" s="390">
        <f t="shared" si="22"/>
        <v>270000</v>
      </c>
      <c r="I215" s="390">
        <v>2850</v>
      </c>
      <c r="J215" s="390">
        <f t="shared" si="23"/>
        <v>57000</v>
      </c>
      <c r="K215" s="548">
        <f t="shared" si="24"/>
        <v>16350</v>
      </c>
      <c r="L215" s="486">
        <f t="shared" si="25"/>
        <v>327000</v>
      </c>
      <c r="N215" s="550"/>
      <c r="O215" s="551"/>
      <c r="P215" s="429"/>
      <c r="Q215" s="430"/>
      <c r="R215" s="539"/>
      <c r="S215" s="430">
        <f t="shared" si="26"/>
        <v>0</v>
      </c>
      <c r="T215" s="430"/>
      <c r="U215" s="431"/>
    </row>
    <row r="216" spans="1:21">
      <c r="A216" s="383"/>
      <c r="B216" s="384"/>
      <c r="C216" s="544"/>
      <c r="D216" s="432" t="s">
        <v>430</v>
      </c>
      <c r="E216" s="387">
        <v>20</v>
      </c>
      <c r="F216" s="433" t="s">
        <v>284</v>
      </c>
      <c r="G216" s="390">
        <v>0</v>
      </c>
      <c r="H216" s="390">
        <f t="shared" si="22"/>
        <v>0</v>
      </c>
      <c r="I216" s="390">
        <v>2850</v>
      </c>
      <c r="J216" s="389">
        <f t="shared" si="23"/>
        <v>57000</v>
      </c>
      <c r="K216" s="434">
        <f t="shared" si="24"/>
        <v>2850</v>
      </c>
      <c r="L216" s="486">
        <f t="shared" si="25"/>
        <v>57000</v>
      </c>
      <c r="N216" s="428"/>
      <c r="O216" s="316"/>
      <c r="P216" s="429"/>
      <c r="Q216" s="430"/>
      <c r="R216" s="539"/>
      <c r="S216" s="430">
        <f t="shared" si="26"/>
        <v>0</v>
      </c>
      <c r="T216" s="415"/>
      <c r="U216" s="431"/>
    </row>
    <row r="217" spans="1:21">
      <c r="A217" s="383"/>
      <c r="B217" s="384"/>
      <c r="C217" s="544" t="s">
        <v>431</v>
      </c>
      <c r="D217" s="432" t="s">
        <v>432</v>
      </c>
      <c r="E217" s="387"/>
      <c r="F217" s="433"/>
      <c r="G217" s="390"/>
      <c r="H217" s="390">
        <f t="shared" si="22"/>
        <v>0</v>
      </c>
      <c r="I217" s="390"/>
      <c r="J217" s="389">
        <f t="shared" si="23"/>
        <v>0</v>
      </c>
      <c r="K217" s="434">
        <f t="shared" si="24"/>
        <v>0</v>
      </c>
      <c r="L217" s="486">
        <f t="shared" si="25"/>
        <v>0</v>
      </c>
      <c r="N217" s="428"/>
      <c r="O217" s="316"/>
      <c r="P217" s="429"/>
      <c r="Q217" s="430"/>
      <c r="R217" s="539"/>
      <c r="S217" s="430">
        <f t="shared" si="26"/>
        <v>0</v>
      </c>
      <c r="T217" s="415"/>
      <c r="U217" s="431"/>
    </row>
    <row r="218" spans="1:21">
      <c r="A218" s="383"/>
      <c r="B218" s="384"/>
      <c r="C218" s="544" t="s">
        <v>282</v>
      </c>
      <c r="D218" s="432" t="s">
        <v>433</v>
      </c>
      <c r="E218" s="387">
        <v>20</v>
      </c>
      <c r="F218" s="433" t="s">
        <v>284</v>
      </c>
      <c r="G218" s="390"/>
      <c r="H218" s="390">
        <f t="shared" si="22"/>
        <v>0</v>
      </c>
      <c r="I218" s="390">
        <v>540</v>
      </c>
      <c r="J218" s="389">
        <f t="shared" si="23"/>
        <v>10800</v>
      </c>
      <c r="K218" s="434">
        <f t="shared" si="24"/>
        <v>540</v>
      </c>
      <c r="L218" s="486">
        <f t="shared" si="25"/>
        <v>10800</v>
      </c>
      <c r="N218" s="428"/>
      <c r="O218" s="316"/>
      <c r="P218" s="429"/>
      <c r="Q218" s="430"/>
      <c r="R218" s="539"/>
      <c r="S218" s="430">
        <f t="shared" si="26"/>
        <v>0</v>
      </c>
      <c r="T218" s="415"/>
      <c r="U218" s="431"/>
    </row>
    <row r="219" spans="1:21">
      <c r="A219" s="383"/>
      <c r="B219" s="384"/>
      <c r="C219" s="544" t="s">
        <v>282</v>
      </c>
      <c r="D219" s="432" t="s">
        <v>434</v>
      </c>
      <c r="E219" s="387">
        <v>20</v>
      </c>
      <c r="F219" s="433" t="s">
        <v>284</v>
      </c>
      <c r="G219" s="390">
        <v>0</v>
      </c>
      <c r="H219" s="390">
        <f t="shared" si="22"/>
        <v>0</v>
      </c>
      <c r="I219" s="390">
        <v>540</v>
      </c>
      <c r="J219" s="389">
        <f t="shared" si="23"/>
        <v>10800</v>
      </c>
      <c r="K219" s="434">
        <f t="shared" si="24"/>
        <v>540</v>
      </c>
      <c r="L219" s="486">
        <f t="shared" si="25"/>
        <v>10800</v>
      </c>
      <c r="N219" s="428"/>
      <c r="O219" s="316"/>
      <c r="P219" s="429"/>
      <c r="Q219" s="430"/>
      <c r="R219" s="539"/>
      <c r="S219" s="430">
        <f t="shared" si="26"/>
        <v>0</v>
      </c>
      <c r="T219" s="415"/>
      <c r="U219" s="431"/>
    </row>
    <row r="220" spans="1:21">
      <c r="A220" s="383"/>
      <c r="B220" s="437">
        <v>4.2</v>
      </c>
      <c r="C220" s="487" t="s">
        <v>435</v>
      </c>
      <c r="D220" s="432"/>
      <c r="E220" s="387">
        <v>1</v>
      </c>
      <c r="F220" s="433" t="s">
        <v>340</v>
      </c>
      <c r="G220" s="390">
        <v>16450</v>
      </c>
      <c r="H220" s="390">
        <f t="shared" si="22"/>
        <v>16450</v>
      </c>
      <c r="I220" s="390">
        <v>5500</v>
      </c>
      <c r="J220" s="389">
        <f t="shared" si="23"/>
        <v>5500</v>
      </c>
      <c r="K220" s="434">
        <f t="shared" si="24"/>
        <v>21950</v>
      </c>
      <c r="L220" s="486">
        <f t="shared" si="25"/>
        <v>21950</v>
      </c>
      <c r="N220" s="428"/>
      <c r="O220" s="316"/>
      <c r="P220" s="429"/>
      <c r="Q220" s="430"/>
      <c r="R220" s="539"/>
      <c r="S220" s="430">
        <f t="shared" si="26"/>
        <v>0</v>
      </c>
      <c r="T220" s="415"/>
      <c r="U220" s="431"/>
    </row>
    <row r="221" spans="1:21">
      <c r="A221" s="383"/>
      <c r="B221" s="384"/>
      <c r="C221" s="385" t="s">
        <v>436</v>
      </c>
      <c r="D221" s="432" t="s">
        <v>437</v>
      </c>
      <c r="E221" s="387"/>
      <c r="F221" s="433"/>
      <c r="G221" s="390">
        <v>0</v>
      </c>
      <c r="H221" s="390">
        <f t="shared" si="22"/>
        <v>0</v>
      </c>
      <c r="I221" s="390">
        <v>0</v>
      </c>
      <c r="J221" s="389">
        <f t="shared" si="23"/>
        <v>0</v>
      </c>
      <c r="K221" s="434">
        <f t="shared" si="24"/>
        <v>0</v>
      </c>
      <c r="L221" s="486">
        <f t="shared" si="25"/>
        <v>0</v>
      </c>
      <c r="N221" s="428"/>
      <c r="O221" s="316"/>
      <c r="P221" s="429"/>
      <c r="Q221" s="430"/>
      <c r="R221" s="539"/>
      <c r="S221" s="430">
        <f t="shared" si="26"/>
        <v>0</v>
      </c>
      <c r="T221" s="415"/>
      <c r="U221" s="431"/>
    </row>
    <row r="222" spans="1:21">
      <c r="A222" s="383"/>
      <c r="B222" s="384"/>
      <c r="C222" s="385" t="s">
        <v>282</v>
      </c>
      <c r="D222" s="432" t="s">
        <v>438</v>
      </c>
      <c r="E222" s="387"/>
      <c r="F222" s="433"/>
      <c r="G222" s="390">
        <v>0</v>
      </c>
      <c r="H222" s="390">
        <f t="shared" si="22"/>
        <v>0</v>
      </c>
      <c r="I222" s="390">
        <v>0</v>
      </c>
      <c r="J222" s="389">
        <f t="shared" si="23"/>
        <v>0</v>
      </c>
      <c r="K222" s="434">
        <f t="shared" si="24"/>
        <v>0</v>
      </c>
      <c r="L222" s="486">
        <f t="shared" si="25"/>
        <v>0</v>
      </c>
      <c r="N222" s="428"/>
      <c r="O222" s="316"/>
      <c r="P222" s="429"/>
      <c r="Q222" s="430"/>
      <c r="R222" s="539"/>
      <c r="S222" s="430">
        <f t="shared" si="26"/>
        <v>0</v>
      </c>
      <c r="T222" s="415"/>
      <c r="U222" s="431"/>
    </row>
    <row r="223" spans="1:21">
      <c r="A223" s="383"/>
      <c r="B223" s="384"/>
      <c r="C223" s="385" t="s">
        <v>439</v>
      </c>
      <c r="D223" s="432" t="s">
        <v>440</v>
      </c>
      <c r="E223" s="387"/>
      <c r="F223" s="433"/>
      <c r="G223" s="390">
        <v>0</v>
      </c>
      <c r="H223" s="390">
        <f t="shared" si="22"/>
        <v>0</v>
      </c>
      <c r="I223" s="390">
        <v>0</v>
      </c>
      <c r="J223" s="389">
        <f t="shared" si="23"/>
        <v>0</v>
      </c>
      <c r="K223" s="434">
        <f t="shared" si="24"/>
        <v>0</v>
      </c>
      <c r="L223" s="486">
        <f t="shared" si="25"/>
        <v>0</v>
      </c>
      <c r="N223" s="428"/>
      <c r="O223" s="316"/>
      <c r="P223" s="429"/>
      <c r="Q223" s="430"/>
      <c r="R223" s="539"/>
      <c r="S223" s="430">
        <f t="shared" si="26"/>
        <v>0</v>
      </c>
      <c r="T223" s="415"/>
      <c r="U223" s="431"/>
    </row>
    <row r="224" spans="1:21">
      <c r="A224" s="383"/>
      <c r="B224" s="384"/>
      <c r="C224" s="385" t="s">
        <v>282</v>
      </c>
      <c r="D224" s="432" t="s">
        <v>441</v>
      </c>
      <c r="E224" s="387"/>
      <c r="F224" s="433"/>
      <c r="G224" s="390">
        <v>0</v>
      </c>
      <c r="H224" s="390">
        <f t="shared" si="22"/>
        <v>0</v>
      </c>
      <c r="I224" s="390">
        <v>0</v>
      </c>
      <c r="J224" s="389">
        <f t="shared" si="23"/>
        <v>0</v>
      </c>
      <c r="K224" s="434">
        <f t="shared" si="24"/>
        <v>0</v>
      </c>
      <c r="L224" s="486">
        <f t="shared" si="25"/>
        <v>0</v>
      </c>
      <c r="N224" s="428"/>
      <c r="O224" s="316"/>
      <c r="P224" s="429"/>
      <c r="Q224" s="430"/>
      <c r="R224" s="539"/>
      <c r="S224" s="430">
        <f t="shared" si="26"/>
        <v>0</v>
      </c>
      <c r="T224" s="415"/>
      <c r="U224" s="431"/>
    </row>
    <row r="225" spans="1:21">
      <c r="A225" s="383"/>
      <c r="B225" s="384"/>
      <c r="C225" s="385" t="s">
        <v>282</v>
      </c>
      <c r="D225" s="432" t="s">
        <v>442</v>
      </c>
      <c r="E225" s="387"/>
      <c r="F225" s="433"/>
      <c r="G225" s="390">
        <v>0</v>
      </c>
      <c r="H225" s="390">
        <f t="shared" si="22"/>
        <v>0</v>
      </c>
      <c r="I225" s="390">
        <v>0</v>
      </c>
      <c r="J225" s="389">
        <f t="shared" si="23"/>
        <v>0</v>
      </c>
      <c r="K225" s="434">
        <f t="shared" si="24"/>
        <v>0</v>
      </c>
      <c r="L225" s="486">
        <f t="shared" si="25"/>
        <v>0</v>
      </c>
      <c r="N225" s="428"/>
      <c r="O225" s="316"/>
      <c r="P225" s="429"/>
      <c r="Q225" s="430"/>
      <c r="R225" s="539"/>
      <c r="S225" s="430">
        <f t="shared" si="26"/>
        <v>0</v>
      </c>
      <c r="T225" s="415"/>
      <c r="U225" s="431"/>
    </row>
    <row r="226" spans="1:21">
      <c r="A226" s="383"/>
      <c r="B226" s="384"/>
      <c r="C226" s="385" t="s">
        <v>443</v>
      </c>
      <c r="D226" s="432" t="s">
        <v>444</v>
      </c>
      <c r="E226" s="387"/>
      <c r="F226" s="433"/>
      <c r="G226" s="390">
        <v>0</v>
      </c>
      <c r="H226" s="390">
        <f t="shared" si="22"/>
        <v>0</v>
      </c>
      <c r="I226" s="390">
        <v>0</v>
      </c>
      <c r="J226" s="389">
        <f t="shared" si="23"/>
        <v>0</v>
      </c>
      <c r="K226" s="434">
        <f t="shared" si="24"/>
        <v>0</v>
      </c>
      <c r="L226" s="486">
        <f t="shared" si="25"/>
        <v>0</v>
      </c>
      <c r="N226" s="428"/>
      <c r="O226" s="316"/>
      <c r="P226" s="429"/>
      <c r="Q226" s="430"/>
      <c r="R226" s="539"/>
      <c r="S226" s="430">
        <f t="shared" si="26"/>
        <v>0</v>
      </c>
      <c r="T226" s="415"/>
      <c r="U226" s="431"/>
    </row>
    <row r="227" spans="1:21">
      <c r="A227" s="383"/>
      <c r="B227" s="437">
        <v>4.3</v>
      </c>
      <c r="C227" s="487" t="s">
        <v>445</v>
      </c>
      <c r="D227" s="432"/>
      <c r="E227" s="387">
        <v>1</v>
      </c>
      <c r="F227" s="433" t="s">
        <v>340</v>
      </c>
      <c r="G227" s="390">
        <v>12300</v>
      </c>
      <c r="H227" s="390">
        <f t="shared" si="22"/>
        <v>12300</v>
      </c>
      <c r="I227" s="390">
        <v>5500</v>
      </c>
      <c r="J227" s="389">
        <f t="shared" si="23"/>
        <v>5500</v>
      </c>
      <c r="K227" s="434">
        <f t="shared" si="24"/>
        <v>17800</v>
      </c>
      <c r="L227" s="486">
        <f t="shared" si="25"/>
        <v>17800</v>
      </c>
      <c r="N227" s="428"/>
      <c r="O227" s="316"/>
      <c r="P227" s="429"/>
      <c r="Q227" s="430"/>
      <c r="R227" s="539"/>
      <c r="S227" s="430">
        <f t="shared" si="26"/>
        <v>0</v>
      </c>
      <c r="T227" s="415"/>
      <c r="U227" s="431"/>
    </row>
    <row r="228" spans="1:21">
      <c r="A228" s="383"/>
      <c r="B228" s="384"/>
      <c r="C228" s="385" t="s">
        <v>446</v>
      </c>
      <c r="D228" s="432" t="s">
        <v>447</v>
      </c>
      <c r="E228" s="387"/>
      <c r="F228" s="433"/>
      <c r="G228" s="390">
        <v>0</v>
      </c>
      <c r="H228" s="390">
        <f t="shared" si="22"/>
        <v>0</v>
      </c>
      <c r="I228" s="390">
        <v>0</v>
      </c>
      <c r="J228" s="389">
        <f t="shared" si="23"/>
        <v>0</v>
      </c>
      <c r="K228" s="434">
        <f t="shared" si="24"/>
        <v>0</v>
      </c>
      <c r="L228" s="486">
        <f t="shared" si="25"/>
        <v>0</v>
      </c>
      <c r="N228" s="428"/>
      <c r="O228" s="316"/>
      <c r="P228" s="429"/>
      <c r="Q228" s="430"/>
      <c r="R228" s="539"/>
      <c r="S228" s="430">
        <f t="shared" si="26"/>
        <v>0</v>
      </c>
      <c r="T228" s="415"/>
      <c r="U228" s="431"/>
    </row>
    <row r="229" spans="1:21">
      <c r="A229" s="383"/>
      <c r="B229" s="384"/>
      <c r="C229" s="385" t="s">
        <v>282</v>
      </c>
      <c r="D229" s="432" t="s">
        <v>438</v>
      </c>
      <c r="E229" s="387"/>
      <c r="F229" s="433"/>
      <c r="G229" s="390">
        <v>0</v>
      </c>
      <c r="H229" s="390">
        <f t="shared" si="22"/>
        <v>0</v>
      </c>
      <c r="I229" s="390">
        <v>0</v>
      </c>
      <c r="J229" s="389">
        <f t="shared" si="23"/>
        <v>0</v>
      </c>
      <c r="K229" s="434">
        <f t="shared" si="24"/>
        <v>0</v>
      </c>
      <c r="L229" s="486">
        <f t="shared" si="25"/>
        <v>0</v>
      </c>
      <c r="N229" s="428"/>
      <c r="O229" s="316"/>
      <c r="P229" s="429"/>
      <c r="Q229" s="430"/>
      <c r="R229" s="539"/>
      <c r="S229" s="430">
        <f t="shared" si="26"/>
        <v>0</v>
      </c>
      <c r="T229" s="415"/>
      <c r="U229" s="431"/>
    </row>
    <row r="230" spans="1:21">
      <c r="A230" s="383"/>
      <c r="B230" s="384"/>
      <c r="C230" s="385" t="s">
        <v>448</v>
      </c>
      <c r="D230" s="432" t="s">
        <v>449</v>
      </c>
      <c r="E230" s="387"/>
      <c r="F230" s="433"/>
      <c r="G230" s="390">
        <v>0</v>
      </c>
      <c r="H230" s="390">
        <f t="shared" ref="H230:H233" si="27">E230*G230</f>
        <v>0</v>
      </c>
      <c r="I230" s="390">
        <v>0</v>
      </c>
      <c r="J230" s="389">
        <f t="shared" ref="J230:J233" si="28">E230*I230</f>
        <v>0</v>
      </c>
      <c r="K230" s="434">
        <f t="shared" ref="K230:K233" si="29">I230+G230</f>
        <v>0</v>
      </c>
      <c r="L230" s="486">
        <f t="shared" ref="L230:L233" si="30">H230+J230</f>
        <v>0</v>
      </c>
      <c r="N230" s="428"/>
      <c r="O230" s="316"/>
      <c r="P230" s="429"/>
      <c r="Q230" s="430"/>
      <c r="R230" s="539"/>
      <c r="S230" s="430">
        <f t="shared" si="26"/>
        <v>0</v>
      </c>
      <c r="T230" s="415"/>
      <c r="U230" s="431"/>
    </row>
    <row r="231" spans="1:21">
      <c r="A231" s="383"/>
      <c r="B231" s="384"/>
      <c r="C231" s="385" t="s">
        <v>282</v>
      </c>
      <c r="D231" s="432" t="s">
        <v>441</v>
      </c>
      <c r="E231" s="387"/>
      <c r="F231" s="433"/>
      <c r="G231" s="390">
        <v>0</v>
      </c>
      <c r="H231" s="390">
        <f t="shared" si="27"/>
        <v>0</v>
      </c>
      <c r="I231" s="390">
        <v>0</v>
      </c>
      <c r="J231" s="389">
        <f t="shared" si="28"/>
        <v>0</v>
      </c>
      <c r="K231" s="434">
        <f t="shared" si="29"/>
        <v>0</v>
      </c>
      <c r="L231" s="391">
        <f t="shared" si="30"/>
        <v>0</v>
      </c>
      <c r="N231" s="428"/>
      <c r="O231" s="316"/>
      <c r="P231" s="429"/>
      <c r="Q231" s="430"/>
      <c r="R231" s="539"/>
      <c r="S231" s="430">
        <f t="shared" si="26"/>
        <v>0</v>
      </c>
      <c r="T231" s="415"/>
      <c r="U231" s="431"/>
    </row>
    <row r="232" spans="1:21">
      <c r="A232" s="383"/>
      <c r="B232" s="384"/>
      <c r="C232" s="385" t="s">
        <v>282</v>
      </c>
      <c r="D232" s="432" t="s">
        <v>442</v>
      </c>
      <c r="E232" s="387"/>
      <c r="F232" s="433"/>
      <c r="G232" s="390">
        <v>0</v>
      </c>
      <c r="H232" s="390">
        <f t="shared" si="27"/>
        <v>0</v>
      </c>
      <c r="I232" s="390">
        <v>0</v>
      </c>
      <c r="J232" s="389">
        <f t="shared" si="28"/>
        <v>0</v>
      </c>
      <c r="K232" s="434">
        <f t="shared" si="29"/>
        <v>0</v>
      </c>
      <c r="L232" s="391">
        <f t="shared" si="30"/>
        <v>0</v>
      </c>
      <c r="N232" s="428"/>
      <c r="O232" s="316"/>
      <c r="P232" s="429"/>
      <c r="Q232" s="430"/>
      <c r="R232" s="539"/>
      <c r="S232" s="430">
        <f t="shared" si="26"/>
        <v>0</v>
      </c>
      <c r="T232" s="415"/>
      <c r="U232" s="431"/>
    </row>
    <row r="233" spans="1:21">
      <c r="A233" s="383"/>
      <c r="B233" s="437">
        <v>4.4000000000000004</v>
      </c>
      <c r="C233" s="487" t="s">
        <v>450</v>
      </c>
      <c r="D233" s="432"/>
      <c r="E233" s="387">
        <v>1</v>
      </c>
      <c r="F233" s="433" t="s">
        <v>340</v>
      </c>
      <c r="G233" s="390">
        <v>0</v>
      </c>
      <c r="H233" s="390">
        <f t="shared" si="27"/>
        <v>0</v>
      </c>
      <c r="I233" s="390">
        <v>0</v>
      </c>
      <c r="J233" s="389">
        <f t="shared" si="28"/>
        <v>0</v>
      </c>
      <c r="K233" s="434">
        <f t="shared" si="29"/>
        <v>0</v>
      </c>
      <c r="L233" s="391">
        <f t="shared" si="30"/>
        <v>0</v>
      </c>
      <c r="N233" s="428"/>
      <c r="O233" s="316"/>
      <c r="P233" s="429"/>
      <c r="Q233" s="430"/>
      <c r="R233" s="539"/>
      <c r="S233" s="430">
        <f t="shared" si="26"/>
        <v>0</v>
      </c>
      <c r="T233" s="415"/>
      <c r="U233" s="431"/>
    </row>
    <row r="234" spans="1:21">
      <c r="A234" s="383"/>
      <c r="B234" s="384"/>
      <c r="C234" s="385"/>
      <c r="D234" s="432"/>
      <c r="E234" s="387"/>
      <c r="F234" s="433"/>
      <c r="G234" s="390"/>
      <c r="H234" s="390"/>
      <c r="I234" s="390"/>
      <c r="J234" s="389"/>
      <c r="K234" s="434"/>
      <c r="L234" s="496"/>
      <c r="N234" s="428"/>
      <c r="O234" s="316"/>
      <c r="P234" s="429"/>
      <c r="Q234" s="430"/>
      <c r="R234" s="539"/>
      <c r="S234" s="430">
        <f t="shared" si="26"/>
        <v>0</v>
      </c>
      <c r="T234" s="415"/>
      <c r="U234" s="431"/>
    </row>
    <row r="235" spans="1:21">
      <c r="A235" s="459"/>
      <c r="B235" s="460"/>
      <c r="C235" s="461"/>
      <c r="D235" s="462"/>
      <c r="E235" s="488"/>
      <c r="F235" s="464"/>
      <c r="G235" s="465"/>
      <c r="H235" s="465"/>
      <c r="I235" s="465"/>
      <c r="J235" s="466"/>
      <c r="K235" s="467"/>
      <c r="L235" s="497"/>
      <c r="N235" s="428"/>
      <c r="O235" s="316"/>
      <c r="P235" s="429"/>
      <c r="Q235" s="430"/>
      <c r="R235" s="539"/>
      <c r="S235" s="430">
        <f t="shared" ref="S235:S297" si="31">ROUND(R235*$S$9,0)</f>
        <v>0</v>
      </c>
      <c r="T235" s="415"/>
      <c r="U235" s="431"/>
    </row>
    <row r="236" spans="1:21" ht="21">
      <c r="A236" s="405">
        <v>5</v>
      </c>
      <c r="B236" s="406" t="s">
        <v>451</v>
      </c>
      <c r="C236" s="469"/>
      <c r="D236" s="498"/>
      <c r="E236" s="490"/>
      <c r="F236" s="470"/>
      <c r="G236" s="472"/>
      <c r="H236" s="473">
        <f>SUM(H238:H317)</f>
        <v>663954</v>
      </c>
      <c r="I236" s="473"/>
      <c r="J236" s="411">
        <f>SUM(J238:J317)</f>
        <v>242578</v>
      </c>
      <c r="K236" s="474"/>
      <c r="L236" s="475">
        <f>SUM(L238:L317)</f>
        <v>906532</v>
      </c>
      <c r="N236" s="428"/>
      <c r="O236" s="316"/>
      <c r="P236" s="429"/>
      <c r="Q236" s="430"/>
      <c r="R236" s="539"/>
      <c r="S236" s="430">
        <f t="shared" si="31"/>
        <v>0</v>
      </c>
      <c r="T236" s="415"/>
      <c r="U236" s="431"/>
    </row>
    <row r="237" spans="1:21">
      <c r="A237" s="476"/>
      <c r="B237" s="477">
        <v>5.0999999999999996</v>
      </c>
      <c r="C237" s="492"/>
      <c r="D237" s="479" t="s">
        <v>452</v>
      </c>
      <c r="E237" s="494"/>
      <c r="F237" s="480"/>
      <c r="G237" s="482"/>
      <c r="H237" s="482"/>
      <c r="I237" s="482"/>
      <c r="J237" s="483"/>
      <c r="K237" s="484"/>
      <c r="L237" s="499"/>
      <c r="N237" s="428"/>
      <c r="O237" s="316"/>
      <c r="P237" s="429"/>
      <c r="Q237" s="430"/>
      <c r="R237" s="539"/>
      <c r="S237" s="430">
        <f t="shared" si="31"/>
        <v>0</v>
      </c>
      <c r="T237" s="415"/>
      <c r="U237" s="431"/>
    </row>
    <row r="238" spans="1:21">
      <c r="A238" s="383"/>
      <c r="B238" s="384"/>
      <c r="C238" s="385" t="s">
        <v>453</v>
      </c>
      <c r="D238" s="432" t="s">
        <v>454</v>
      </c>
      <c r="E238" s="387">
        <v>20</v>
      </c>
      <c r="F238" s="388" t="s">
        <v>87</v>
      </c>
      <c r="G238" s="390">
        <f t="shared" ref="G238:G248" si="32">S238</f>
        <v>2338</v>
      </c>
      <c r="H238" s="390">
        <f t="shared" ref="H238:H248" si="33">E238*G238</f>
        <v>46760</v>
      </c>
      <c r="I238" s="390">
        <v>450</v>
      </c>
      <c r="J238" s="389">
        <f t="shared" ref="J238:J248" si="34">E238*I238</f>
        <v>9000</v>
      </c>
      <c r="K238" s="434">
        <f t="shared" ref="K238:K248" si="35">I238+G238</f>
        <v>2788</v>
      </c>
      <c r="L238" s="486">
        <f t="shared" ref="L238:L248" si="36">H238+J238</f>
        <v>55760</v>
      </c>
      <c r="N238" s="428"/>
      <c r="O238" s="316"/>
      <c r="P238" s="429"/>
      <c r="Q238" s="430"/>
      <c r="R238" s="539">
        <v>1670</v>
      </c>
      <c r="S238" s="430">
        <f t="shared" si="31"/>
        <v>2338</v>
      </c>
      <c r="T238" s="415"/>
      <c r="U238" s="431"/>
    </row>
    <row r="239" spans="1:21">
      <c r="A239" s="383"/>
      <c r="B239" s="384"/>
      <c r="C239" s="385" t="s">
        <v>455</v>
      </c>
      <c r="D239" s="432" t="s">
        <v>456</v>
      </c>
      <c r="E239" s="387">
        <v>20</v>
      </c>
      <c r="F239" s="388" t="s">
        <v>87</v>
      </c>
      <c r="G239" s="390">
        <f t="shared" si="32"/>
        <v>641</v>
      </c>
      <c r="H239" s="390">
        <f t="shared" si="33"/>
        <v>12820</v>
      </c>
      <c r="I239" s="390">
        <v>330</v>
      </c>
      <c r="J239" s="389">
        <f t="shared" si="34"/>
        <v>6600</v>
      </c>
      <c r="K239" s="434">
        <f t="shared" si="35"/>
        <v>971</v>
      </c>
      <c r="L239" s="486">
        <f t="shared" si="36"/>
        <v>19420</v>
      </c>
      <c r="N239" s="428"/>
      <c r="O239" s="316"/>
      <c r="P239" s="429"/>
      <c r="Q239" s="430"/>
      <c r="R239" s="539">
        <v>458</v>
      </c>
      <c r="S239" s="430">
        <f t="shared" si="31"/>
        <v>641</v>
      </c>
      <c r="T239" s="415"/>
      <c r="U239" s="431"/>
    </row>
    <row r="240" spans="1:21">
      <c r="A240" s="383"/>
      <c r="B240" s="384"/>
      <c r="C240" s="385" t="s">
        <v>457</v>
      </c>
      <c r="D240" s="432" t="s">
        <v>458</v>
      </c>
      <c r="E240" s="387">
        <v>20</v>
      </c>
      <c r="F240" s="388" t="s">
        <v>87</v>
      </c>
      <c r="G240" s="390">
        <f t="shared" si="32"/>
        <v>1274</v>
      </c>
      <c r="H240" s="390">
        <f t="shared" si="33"/>
        <v>25480</v>
      </c>
      <c r="I240" s="390">
        <v>120</v>
      </c>
      <c r="J240" s="389">
        <f t="shared" si="34"/>
        <v>2400</v>
      </c>
      <c r="K240" s="434">
        <f t="shared" si="35"/>
        <v>1394</v>
      </c>
      <c r="L240" s="486">
        <f t="shared" si="36"/>
        <v>27880</v>
      </c>
      <c r="N240" s="428"/>
      <c r="O240" s="316"/>
      <c r="P240" s="429"/>
      <c r="Q240" s="430"/>
      <c r="R240" s="539">
        <v>910</v>
      </c>
      <c r="S240" s="430">
        <f t="shared" si="31"/>
        <v>1274</v>
      </c>
      <c r="T240" s="415"/>
      <c r="U240" s="431"/>
    </row>
    <row r="241" spans="1:21">
      <c r="A241" s="383"/>
      <c r="B241" s="384"/>
      <c r="C241" s="385" t="s">
        <v>459</v>
      </c>
      <c r="D241" s="432" t="s">
        <v>460</v>
      </c>
      <c r="E241" s="387">
        <v>20</v>
      </c>
      <c r="F241" s="388" t="s">
        <v>87</v>
      </c>
      <c r="G241" s="390">
        <f t="shared" si="32"/>
        <v>273</v>
      </c>
      <c r="H241" s="390">
        <f t="shared" si="33"/>
        <v>5460</v>
      </c>
      <c r="I241" s="390">
        <v>70</v>
      </c>
      <c r="J241" s="389">
        <f t="shared" si="34"/>
        <v>1400</v>
      </c>
      <c r="K241" s="434">
        <f t="shared" si="35"/>
        <v>343</v>
      </c>
      <c r="L241" s="486">
        <f t="shared" si="36"/>
        <v>6860</v>
      </c>
      <c r="N241" s="428"/>
      <c r="O241" s="316"/>
      <c r="P241" s="429"/>
      <c r="Q241" s="430"/>
      <c r="R241" s="539">
        <v>195</v>
      </c>
      <c r="S241" s="430">
        <f t="shared" si="31"/>
        <v>273</v>
      </c>
      <c r="T241" s="415"/>
      <c r="U241" s="431"/>
    </row>
    <row r="242" spans="1:21">
      <c r="A242" s="383"/>
      <c r="B242" s="384"/>
      <c r="C242" s="385" t="s">
        <v>461</v>
      </c>
      <c r="D242" s="432" t="s">
        <v>462</v>
      </c>
      <c r="E242" s="387">
        <v>20</v>
      </c>
      <c r="F242" s="388" t="s">
        <v>87</v>
      </c>
      <c r="G242" s="390">
        <f t="shared" si="32"/>
        <v>532</v>
      </c>
      <c r="H242" s="390">
        <f t="shared" si="33"/>
        <v>10640</v>
      </c>
      <c r="I242" s="390">
        <v>70</v>
      </c>
      <c r="J242" s="389">
        <f t="shared" si="34"/>
        <v>1400</v>
      </c>
      <c r="K242" s="434">
        <f t="shared" si="35"/>
        <v>602</v>
      </c>
      <c r="L242" s="486">
        <f t="shared" si="36"/>
        <v>12040</v>
      </c>
      <c r="N242" s="428"/>
      <c r="O242" s="316"/>
      <c r="P242" s="429"/>
      <c r="Q242" s="430"/>
      <c r="R242" s="539">
        <v>380</v>
      </c>
      <c r="S242" s="430">
        <f t="shared" si="31"/>
        <v>532</v>
      </c>
      <c r="T242" s="415"/>
      <c r="U242" s="431"/>
    </row>
    <row r="243" spans="1:21">
      <c r="A243" s="383"/>
      <c r="B243" s="384"/>
      <c r="C243" s="385" t="s">
        <v>463</v>
      </c>
      <c r="D243" s="432" t="s">
        <v>464</v>
      </c>
      <c r="E243" s="387">
        <v>20</v>
      </c>
      <c r="F243" s="388" t="s">
        <v>87</v>
      </c>
      <c r="G243" s="390">
        <f t="shared" si="32"/>
        <v>196</v>
      </c>
      <c r="H243" s="390">
        <f t="shared" si="33"/>
        <v>3920</v>
      </c>
      <c r="I243" s="390">
        <v>70</v>
      </c>
      <c r="J243" s="389">
        <f t="shared" si="34"/>
        <v>1400</v>
      </c>
      <c r="K243" s="434">
        <f t="shared" si="35"/>
        <v>266</v>
      </c>
      <c r="L243" s="486">
        <f t="shared" si="36"/>
        <v>5320</v>
      </c>
      <c r="N243" s="428"/>
      <c r="O243" s="316"/>
      <c r="P243" s="429"/>
      <c r="Q243" s="430"/>
      <c r="R243" s="539">
        <v>140</v>
      </c>
      <c r="S243" s="430">
        <f t="shared" si="31"/>
        <v>196</v>
      </c>
      <c r="T243" s="415"/>
      <c r="U243" s="431"/>
    </row>
    <row r="244" spans="1:21">
      <c r="A244" s="383"/>
      <c r="B244" s="384"/>
      <c r="C244" s="385" t="s">
        <v>465</v>
      </c>
      <c r="D244" s="432" t="s">
        <v>466</v>
      </c>
      <c r="E244" s="387">
        <v>20</v>
      </c>
      <c r="F244" s="388" t="s">
        <v>87</v>
      </c>
      <c r="G244" s="390">
        <f t="shared" si="32"/>
        <v>512</v>
      </c>
      <c r="H244" s="390">
        <f t="shared" si="33"/>
        <v>10240</v>
      </c>
      <c r="I244" s="390">
        <v>70</v>
      </c>
      <c r="J244" s="389">
        <f t="shared" si="34"/>
        <v>1400</v>
      </c>
      <c r="K244" s="434">
        <f t="shared" si="35"/>
        <v>582</v>
      </c>
      <c r="L244" s="486">
        <f t="shared" si="36"/>
        <v>11640</v>
      </c>
      <c r="N244" s="428"/>
      <c r="O244" s="316"/>
      <c r="P244" s="429"/>
      <c r="Q244" s="430"/>
      <c r="R244" s="539">
        <v>366</v>
      </c>
      <c r="S244" s="430">
        <f t="shared" si="31"/>
        <v>512</v>
      </c>
      <c r="T244" s="415"/>
      <c r="U244" s="431"/>
    </row>
    <row r="245" spans="1:21">
      <c r="A245" s="383"/>
      <c r="B245" s="384"/>
      <c r="C245" s="385" t="s">
        <v>467</v>
      </c>
      <c r="D245" s="432" t="s">
        <v>468</v>
      </c>
      <c r="E245" s="387">
        <v>20</v>
      </c>
      <c r="F245" s="388" t="s">
        <v>87</v>
      </c>
      <c r="G245" s="390">
        <f t="shared" si="32"/>
        <v>707</v>
      </c>
      <c r="H245" s="390">
        <f t="shared" si="33"/>
        <v>14140</v>
      </c>
      <c r="I245" s="390">
        <v>70</v>
      </c>
      <c r="J245" s="389">
        <f t="shared" si="34"/>
        <v>1400</v>
      </c>
      <c r="K245" s="434">
        <f t="shared" si="35"/>
        <v>777</v>
      </c>
      <c r="L245" s="486">
        <f t="shared" si="36"/>
        <v>15540</v>
      </c>
      <c r="N245" s="428"/>
      <c r="O245" s="316"/>
      <c r="P245" s="429"/>
      <c r="Q245" s="430"/>
      <c r="R245" s="539">
        <v>505</v>
      </c>
      <c r="S245" s="430">
        <f t="shared" si="31"/>
        <v>707</v>
      </c>
      <c r="T245" s="415"/>
      <c r="U245" s="431"/>
    </row>
    <row r="246" spans="1:21">
      <c r="A246" s="383"/>
      <c r="B246" s="384"/>
      <c r="C246" s="385" t="s">
        <v>469</v>
      </c>
      <c r="D246" s="432" t="s">
        <v>470</v>
      </c>
      <c r="E246" s="387">
        <v>20</v>
      </c>
      <c r="F246" s="388" t="s">
        <v>87</v>
      </c>
      <c r="G246" s="390">
        <f t="shared" si="32"/>
        <v>301</v>
      </c>
      <c r="H246" s="390">
        <f t="shared" si="33"/>
        <v>6020</v>
      </c>
      <c r="I246" s="390">
        <v>70</v>
      </c>
      <c r="J246" s="389">
        <f t="shared" si="34"/>
        <v>1400</v>
      </c>
      <c r="K246" s="434">
        <f t="shared" si="35"/>
        <v>371</v>
      </c>
      <c r="L246" s="486">
        <f t="shared" si="36"/>
        <v>7420</v>
      </c>
      <c r="N246" s="428"/>
      <c r="O246" s="316"/>
      <c r="P246" s="429"/>
      <c r="Q246" s="430"/>
      <c r="R246" s="539">
        <v>215</v>
      </c>
      <c r="S246" s="430">
        <f t="shared" si="31"/>
        <v>301</v>
      </c>
      <c r="T246" s="415"/>
      <c r="U246" s="431"/>
    </row>
    <row r="247" spans="1:21">
      <c r="A247" s="383"/>
      <c r="B247" s="384"/>
      <c r="C247" s="385" t="s">
        <v>471</v>
      </c>
      <c r="D247" s="432" t="s">
        <v>472</v>
      </c>
      <c r="E247" s="387">
        <v>23</v>
      </c>
      <c r="F247" s="388" t="s">
        <v>87</v>
      </c>
      <c r="G247" s="390">
        <f t="shared" si="32"/>
        <v>259</v>
      </c>
      <c r="H247" s="390">
        <f t="shared" si="33"/>
        <v>5957</v>
      </c>
      <c r="I247" s="390">
        <v>25</v>
      </c>
      <c r="J247" s="389">
        <f t="shared" si="34"/>
        <v>575</v>
      </c>
      <c r="K247" s="434">
        <f t="shared" si="35"/>
        <v>284</v>
      </c>
      <c r="L247" s="486">
        <f t="shared" si="36"/>
        <v>6532</v>
      </c>
      <c r="N247" s="428"/>
      <c r="O247" s="316"/>
      <c r="P247" s="429"/>
      <c r="Q247" s="430"/>
      <c r="R247" s="539">
        <v>185</v>
      </c>
      <c r="S247" s="430">
        <f t="shared" si="31"/>
        <v>259</v>
      </c>
      <c r="T247" s="415"/>
      <c r="U247" s="431"/>
    </row>
    <row r="248" spans="1:21">
      <c r="A248" s="383"/>
      <c r="B248" s="384"/>
      <c r="C248" s="385" t="s">
        <v>473</v>
      </c>
      <c r="D248" s="432" t="s">
        <v>474</v>
      </c>
      <c r="E248" s="387">
        <v>20</v>
      </c>
      <c r="F248" s="388" t="s">
        <v>87</v>
      </c>
      <c r="G248" s="390">
        <f t="shared" si="32"/>
        <v>294</v>
      </c>
      <c r="H248" s="390">
        <f t="shared" si="33"/>
        <v>5880</v>
      </c>
      <c r="I248" s="390">
        <v>70</v>
      </c>
      <c r="J248" s="389">
        <f t="shared" si="34"/>
        <v>1400</v>
      </c>
      <c r="K248" s="434">
        <f t="shared" si="35"/>
        <v>364</v>
      </c>
      <c r="L248" s="486">
        <f t="shared" si="36"/>
        <v>7280</v>
      </c>
      <c r="N248" s="428"/>
      <c r="O248" s="316"/>
      <c r="P248" s="429"/>
      <c r="Q248" s="430"/>
      <c r="R248" s="539">
        <v>210</v>
      </c>
      <c r="S248" s="430">
        <f t="shared" si="31"/>
        <v>294</v>
      </c>
      <c r="T248" s="415"/>
      <c r="U248" s="431"/>
    </row>
    <row r="249" spans="1:21">
      <c r="A249" s="383"/>
      <c r="B249" s="384"/>
      <c r="C249" s="385" t="s">
        <v>475</v>
      </c>
      <c r="D249" s="432" t="s">
        <v>476</v>
      </c>
      <c r="E249" s="387"/>
      <c r="F249" s="388"/>
      <c r="G249" s="390"/>
      <c r="H249" s="390"/>
      <c r="I249" s="390"/>
      <c r="J249" s="389"/>
      <c r="K249" s="434"/>
      <c r="L249" s="496"/>
      <c r="N249" s="428"/>
      <c r="O249" s="316"/>
      <c r="P249" s="429"/>
      <c r="Q249" s="430"/>
      <c r="R249" s="539"/>
      <c r="S249" s="430">
        <f t="shared" si="31"/>
        <v>0</v>
      </c>
      <c r="T249" s="415"/>
      <c r="U249" s="431"/>
    </row>
    <row r="250" spans="1:21">
      <c r="A250" s="383"/>
      <c r="B250" s="384"/>
      <c r="C250" s="385" t="s">
        <v>282</v>
      </c>
      <c r="D250" s="432" t="s">
        <v>477</v>
      </c>
      <c r="E250" s="387">
        <v>20</v>
      </c>
      <c r="F250" s="388" t="s">
        <v>87</v>
      </c>
      <c r="G250" s="561" t="s">
        <v>478</v>
      </c>
      <c r="H250" s="390"/>
      <c r="I250" s="390">
        <v>550</v>
      </c>
      <c r="J250" s="389">
        <f t="shared" ref="J250:J252" si="37">E250*I250</f>
        <v>11000</v>
      </c>
      <c r="K250" s="434">
        <f>I250</f>
        <v>550</v>
      </c>
      <c r="L250" s="486">
        <f t="shared" ref="L250:L252" si="38">H250+J250</f>
        <v>11000</v>
      </c>
      <c r="N250" s="428"/>
      <c r="O250" s="316"/>
      <c r="P250" s="429"/>
      <c r="Q250" s="430"/>
      <c r="R250" s="539">
        <v>4175</v>
      </c>
      <c r="S250" s="430">
        <f t="shared" si="31"/>
        <v>5845</v>
      </c>
      <c r="T250" s="415"/>
      <c r="U250" s="431"/>
    </row>
    <row r="251" spans="1:21">
      <c r="A251" s="383"/>
      <c r="B251" s="384"/>
      <c r="C251" s="385" t="s">
        <v>479</v>
      </c>
      <c r="D251" s="432" t="s">
        <v>480</v>
      </c>
      <c r="E251" s="387">
        <v>1</v>
      </c>
      <c r="F251" s="388" t="s">
        <v>481</v>
      </c>
      <c r="G251" s="390">
        <f t="shared" ref="G251:G252" si="39">S251</f>
        <v>3899</v>
      </c>
      <c r="H251" s="390">
        <f t="shared" ref="H251:H252" si="40">E251*G251</f>
        <v>3899</v>
      </c>
      <c r="I251" s="390">
        <v>300</v>
      </c>
      <c r="J251" s="389">
        <f t="shared" si="37"/>
        <v>300</v>
      </c>
      <c r="K251" s="434">
        <f t="shared" ref="K251:K252" si="41">I251+G251</f>
        <v>4199</v>
      </c>
      <c r="L251" s="486">
        <f t="shared" si="38"/>
        <v>4199</v>
      </c>
      <c r="N251" s="428"/>
      <c r="O251" s="316"/>
      <c r="P251" s="429"/>
      <c r="Q251" s="430"/>
      <c r="R251" s="539">
        <v>2785</v>
      </c>
      <c r="S251" s="430">
        <f t="shared" si="31"/>
        <v>3899</v>
      </c>
      <c r="T251" s="415"/>
      <c r="U251" s="431"/>
    </row>
    <row r="252" spans="1:21">
      <c r="A252" s="383"/>
      <c r="B252" s="384"/>
      <c r="C252" s="385" t="s">
        <v>482</v>
      </c>
      <c r="D252" s="432" t="s">
        <v>483</v>
      </c>
      <c r="E252" s="387">
        <v>1</v>
      </c>
      <c r="F252" s="388" t="s">
        <v>277</v>
      </c>
      <c r="G252" s="390">
        <f t="shared" si="39"/>
        <v>14000</v>
      </c>
      <c r="H252" s="390">
        <f t="shared" si="40"/>
        <v>14000</v>
      </c>
      <c r="I252" s="390">
        <v>5500</v>
      </c>
      <c r="J252" s="389">
        <f t="shared" si="37"/>
        <v>5500</v>
      </c>
      <c r="K252" s="434">
        <f t="shared" si="41"/>
        <v>19500</v>
      </c>
      <c r="L252" s="486">
        <f t="shared" si="38"/>
        <v>19500</v>
      </c>
      <c r="N252" s="428"/>
      <c r="O252" s="316"/>
      <c r="P252" s="429"/>
      <c r="Q252" s="430"/>
      <c r="R252" s="539">
        <v>10000</v>
      </c>
      <c r="S252" s="430">
        <f t="shared" si="31"/>
        <v>14000</v>
      </c>
      <c r="T252" s="415"/>
      <c r="U252" s="431"/>
    </row>
    <row r="253" spans="1:21">
      <c r="A253" s="383"/>
      <c r="B253" s="384">
        <v>3.2</v>
      </c>
      <c r="C253" s="385"/>
      <c r="D253" s="432" t="s">
        <v>484</v>
      </c>
      <c r="E253" s="387"/>
      <c r="F253" s="388"/>
      <c r="G253" s="390"/>
      <c r="H253" s="390"/>
      <c r="I253" s="390"/>
      <c r="J253" s="389"/>
      <c r="K253" s="434"/>
      <c r="L253" s="496"/>
      <c r="N253" s="428"/>
      <c r="O253" s="316"/>
      <c r="P253" s="429"/>
      <c r="Q253" s="430"/>
      <c r="R253" s="539"/>
      <c r="S253" s="430">
        <f t="shared" si="31"/>
        <v>0</v>
      </c>
      <c r="T253" s="415"/>
      <c r="U253" s="431"/>
    </row>
    <row r="254" spans="1:21">
      <c r="A254" s="383"/>
      <c r="B254" s="384"/>
      <c r="C254" s="385" t="s">
        <v>305</v>
      </c>
      <c r="D254" s="432" t="s">
        <v>485</v>
      </c>
      <c r="E254" s="387"/>
      <c r="F254" s="388"/>
      <c r="G254" s="390"/>
      <c r="H254" s="390"/>
      <c r="I254" s="390"/>
      <c r="J254" s="389"/>
      <c r="K254" s="434"/>
      <c r="L254" s="496"/>
      <c r="N254" s="428"/>
      <c r="O254" s="316"/>
      <c r="P254" s="429"/>
      <c r="Q254" s="430"/>
      <c r="R254" s="539"/>
      <c r="S254" s="430">
        <f t="shared" si="31"/>
        <v>0</v>
      </c>
      <c r="T254" s="415"/>
      <c r="U254" s="431"/>
    </row>
    <row r="255" spans="1:21">
      <c r="A255" s="383"/>
      <c r="B255" s="384"/>
      <c r="C255" s="385"/>
      <c r="D255" s="432" t="s">
        <v>486</v>
      </c>
      <c r="E255" s="387">
        <v>390</v>
      </c>
      <c r="F255" s="388" t="s">
        <v>185</v>
      </c>
      <c r="G255" s="390">
        <f t="shared" ref="G255:G262" si="42">S255</f>
        <v>21</v>
      </c>
      <c r="H255" s="390">
        <f t="shared" ref="H255:H262" si="43">E255*G255</f>
        <v>8190</v>
      </c>
      <c r="I255" s="390">
        <v>5</v>
      </c>
      <c r="J255" s="389">
        <f t="shared" ref="J255:J262" si="44">E255*I255</f>
        <v>1950</v>
      </c>
      <c r="K255" s="434">
        <f t="shared" ref="K255:K262" si="45">I255+G255</f>
        <v>26</v>
      </c>
      <c r="L255" s="486">
        <f t="shared" ref="L255:L262" si="46">H255+J255</f>
        <v>10140</v>
      </c>
      <c r="N255" s="428"/>
      <c r="O255" s="316"/>
      <c r="P255" s="429"/>
      <c r="Q255" s="430"/>
      <c r="R255" s="539">
        <v>15</v>
      </c>
      <c r="S255" s="430">
        <f t="shared" si="31"/>
        <v>21</v>
      </c>
      <c r="T255" s="415"/>
      <c r="U255" s="431"/>
    </row>
    <row r="256" spans="1:21">
      <c r="A256" s="383"/>
      <c r="B256" s="384"/>
      <c r="C256" s="385"/>
      <c r="D256" s="432" t="s">
        <v>487</v>
      </c>
      <c r="E256" s="387">
        <v>138</v>
      </c>
      <c r="F256" s="388" t="s">
        <v>185</v>
      </c>
      <c r="G256" s="390">
        <f t="shared" si="42"/>
        <v>64</v>
      </c>
      <c r="H256" s="390">
        <f t="shared" si="43"/>
        <v>8832</v>
      </c>
      <c r="I256" s="390">
        <v>16</v>
      </c>
      <c r="J256" s="389">
        <f t="shared" si="44"/>
        <v>2208</v>
      </c>
      <c r="K256" s="434">
        <f t="shared" si="45"/>
        <v>80</v>
      </c>
      <c r="L256" s="486">
        <f t="shared" si="46"/>
        <v>11040</v>
      </c>
      <c r="N256" s="428"/>
      <c r="O256" s="316"/>
      <c r="P256" s="429"/>
      <c r="Q256" s="430"/>
      <c r="R256" s="539">
        <v>46</v>
      </c>
      <c r="S256" s="430">
        <f t="shared" si="31"/>
        <v>64</v>
      </c>
      <c r="T256" s="415"/>
      <c r="U256" s="431"/>
    </row>
    <row r="257" spans="1:21">
      <c r="A257" s="383"/>
      <c r="B257" s="384"/>
      <c r="C257" s="385"/>
      <c r="D257" s="432" t="s">
        <v>488</v>
      </c>
      <c r="E257" s="387">
        <v>114</v>
      </c>
      <c r="F257" s="388" t="s">
        <v>185</v>
      </c>
      <c r="G257" s="390">
        <f t="shared" si="42"/>
        <v>27</v>
      </c>
      <c r="H257" s="390">
        <f t="shared" si="43"/>
        <v>3078</v>
      </c>
      <c r="I257" s="390">
        <v>7</v>
      </c>
      <c r="J257" s="389">
        <f t="shared" si="44"/>
        <v>798</v>
      </c>
      <c r="K257" s="434">
        <f t="shared" si="45"/>
        <v>34</v>
      </c>
      <c r="L257" s="486">
        <f t="shared" si="46"/>
        <v>3876</v>
      </c>
      <c r="N257" s="428"/>
      <c r="O257" s="316"/>
      <c r="P257" s="429"/>
      <c r="Q257" s="430"/>
      <c r="R257" s="539">
        <v>19</v>
      </c>
      <c r="S257" s="430">
        <f t="shared" si="31"/>
        <v>27</v>
      </c>
      <c r="T257" s="415"/>
      <c r="U257" s="431"/>
    </row>
    <row r="258" spans="1:21">
      <c r="A258" s="383"/>
      <c r="B258" s="384"/>
      <c r="C258" s="385"/>
      <c r="D258" s="432" t="s">
        <v>489</v>
      </c>
      <c r="E258" s="387">
        <v>54</v>
      </c>
      <c r="F258" s="388" t="s">
        <v>185</v>
      </c>
      <c r="G258" s="390">
        <f t="shared" si="42"/>
        <v>69</v>
      </c>
      <c r="H258" s="390">
        <f t="shared" si="43"/>
        <v>3726</v>
      </c>
      <c r="I258" s="390">
        <v>17</v>
      </c>
      <c r="J258" s="389">
        <f t="shared" si="44"/>
        <v>918</v>
      </c>
      <c r="K258" s="434">
        <f t="shared" si="45"/>
        <v>86</v>
      </c>
      <c r="L258" s="486">
        <f t="shared" si="46"/>
        <v>4644</v>
      </c>
      <c r="N258" s="428"/>
      <c r="O258" s="316"/>
      <c r="P258" s="429"/>
      <c r="Q258" s="430"/>
      <c r="R258" s="539">
        <v>49</v>
      </c>
      <c r="S258" s="430">
        <f t="shared" si="31"/>
        <v>69</v>
      </c>
      <c r="T258" s="415"/>
      <c r="U258" s="431"/>
    </row>
    <row r="259" spans="1:21">
      <c r="A259" s="383"/>
      <c r="B259" s="384"/>
      <c r="C259" s="385"/>
      <c r="D259" s="432" t="s">
        <v>490</v>
      </c>
      <c r="E259" s="387">
        <v>218</v>
      </c>
      <c r="F259" s="388" t="s">
        <v>185</v>
      </c>
      <c r="G259" s="390">
        <f t="shared" si="42"/>
        <v>148</v>
      </c>
      <c r="H259" s="390">
        <f t="shared" si="43"/>
        <v>32264</v>
      </c>
      <c r="I259" s="390">
        <v>37</v>
      </c>
      <c r="J259" s="389">
        <f t="shared" si="44"/>
        <v>8066</v>
      </c>
      <c r="K259" s="434">
        <f t="shared" si="45"/>
        <v>185</v>
      </c>
      <c r="L259" s="486">
        <f t="shared" si="46"/>
        <v>40330</v>
      </c>
      <c r="N259" s="428"/>
      <c r="O259" s="316"/>
      <c r="P259" s="429"/>
      <c r="Q259" s="430"/>
      <c r="R259" s="539">
        <v>106</v>
      </c>
      <c r="S259" s="430">
        <f t="shared" si="31"/>
        <v>148</v>
      </c>
      <c r="T259" s="415"/>
      <c r="U259" s="431"/>
    </row>
    <row r="260" spans="1:21">
      <c r="A260" s="383"/>
      <c r="B260" s="384"/>
      <c r="C260" s="385"/>
      <c r="D260" s="432" t="s">
        <v>491</v>
      </c>
      <c r="E260" s="387">
        <v>165</v>
      </c>
      <c r="F260" s="388" t="s">
        <v>185</v>
      </c>
      <c r="G260" s="390">
        <f t="shared" si="42"/>
        <v>241</v>
      </c>
      <c r="H260" s="390">
        <f t="shared" si="43"/>
        <v>39765</v>
      </c>
      <c r="I260" s="390">
        <v>60</v>
      </c>
      <c r="J260" s="389">
        <f t="shared" si="44"/>
        <v>9900</v>
      </c>
      <c r="K260" s="434">
        <f t="shared" si="45"/>
        <v>301</v>
      </c>
      <c r="L260" s="486">
        <f t="shared" si="46"/>
        <v>49665</v>
      </c>
      <c r="N260" s="428"/>
      <c r="O260" s="316"/>
      <c r="P260" s="429"/>
      <c r="Q260" s="430"/>
      <c r="R260" s="539">
        <v>172</v>
      </c>
      <c r="S260" s="430">
        <f t="shared" si="31"/>
        <v>241</v>
      </c>
      <c r="T260" s="415"/>
      <c r="U260" s="431"/>
    </row>
    <row r="261" spans="1:21">
      <c r="A261" s="383"/>
      <c r="B261" s="384"/>
      <c r="C261" s="385"/>
      <c r="D261" s="432" t="s">
        <v>492</v>
      </c>
      <c r="E261" s="387">
        <v>165</v>
      </c>
      <c r="F261" s="388" t="s">
        <v>185</v>
      </c>
      <c r="G261" s="390">
        <f t="shared" si="42"/>
        <v>508</v>
      </c>
      <c r="H261" s="390">
        <f t="shared" si="43"/>
        <v>83820</v>
      </c>
      <c r="I261" s="390">
        <v>127</v>
      </c>
      <c r="J261" s="389">
        <f t="shared" si="44"/>
        <v>20955</v>
      </c>
      <c r="K261" s="434">
        <f t="shared" si="45"/>
        <v>635</v>
      </c>
      <c r="L261" s="486">
        <f t="shared" si="46"/>
        <v>104775</v>
      </c>
      <c r="N261" s="428"/>
      <c r="O261" s="316"/>
      <c r="P261" s="429"/>
      <c r="Q261" s="430"/>
      <c r="R261" s="539">
        <v>363</v>
      </c>
      <c r="S261" s="430">
        <f t="shared" si="31"/>
        <v>508</v>
      </c>
      <c r="T261" s="415"/>
      <c r="U261" s="431"/>
    </row>
    <row r="262" spans="1:21">
      <c r="A262" s="383"/>
      <c r="B262" s="384"/>
      <c r="C262" s="385"/>
      <c r="D262" s="432" t="s">
        <v>493</v>
      </c>
      <c r="E262" s="387">
        <v>100</v>
      </c>
      <c r="F262" s="388" t="s">
        <v>185</v>
      </c>
      <c r="G262" s="390">
        <f t="shared" si="42"/>
        <v>342</v>
      </c>
      <c r="H262" s="390">
        <f t="shared" si="43"/>
        <v>34200</v>
      </c>
      <c r="I262" s="390">
        <v>200</v>
      </c>
      <c r="J262" s="389">
        <f t="shared" si="44"/>
        <v>20000</v>
      </c>
      <c r="K262" s="434">
        <f t="shared" si="45"/>
        <v>542</v>
      </c>
      <c r="L262" s="486">
        <f t="shared" si="46"/>
        <v>54200</v>
      </c>
      <c r="N262" s="428"/>
      <c r="O262" s="316"/>
      <c r="P262" s="429"/>
      <c r="Q262" s="430"/>
      <c r="R262" s="539">
        <v>244</v>
      </c>
      <c r="S262" s="430">
        <f t="shared" si="31"/>
        <v>342</v>
      </c>
      <c r="T262" s="415"/>
      <c r="U262" s="431"/>
    </row>
    <row r="263" spans="1:21">
      <c r="A263" s="383"/>
      <c r="B263" s="384"/>
      <c r="C263" s="385" t="s">
        <v>312</v>
      </c>
      <c r="D263" s="432" t="s">
        <v>494</v>
      </c>
      <c r="E263" s="387"/>
      <c r="F263" s="388"/>
      <c r="G263" s="390"/>
      <c r="H263" s="390"/>
      <c r="I263" s="390"/>
      <c r="J263" s="389"/>
      <c r="K263" s="434"/>
      <c r="L263" s="496"/>
      <c r="N263" s="428"/>
      <c r="O263" s="316"/>
      <c r="P263" s="429"/>
      <c r="Q263" s="430"/>
      <c r="R263" s="539"/>
      <c r="S263" s="430">
        <f t="shared" si="31"/>
        <v>0</v>
      </c>
      <c r="T263" s="415"/>
      <c r="U263" s="431"/>
    </row>
    <row r="264" spans="1:21">
      <c r="A264" s="383"/>
      <c r="B264" s="384"/>
      <c r="C264" s="385"/>
      <c r="D264" s="432" t="s">
        <v>495</v>
      </c>
      <c r="E264" s="387">
        <v>21</v>
      </c>
      <c r="F264" s="388" t="s">
        <v>240</v>
      </c>
      <c r="G264" s="390">
        <f t="shared" ref="G264:G267" si="47">S264</f>
        <v>280</v>
      </c>
      <c r="H264" s="390">
        <f t="shared" ref="H264:H267" si="48">E264*G264</f>
        <v>5880</v>
      </c>
      <c r="I264" s="390">
        <v>70</v>
      </c>
      <c r="J264" s="389">
        <f t="shared" ref="J264:J267" si="49">E264*I264</f>
        <v>1470</v>
      </c>
      <c r="K264" s="434">
        <f t="shared" ref="K264:K267" si="50">I264+G264</f>
        <v>350</v>
      </c>
      <c r="L264" s="486">
        <f t="shared" ref="L264:L267" si="51">H264+J264</f>
        <v>7350</v>
      </c>
      <c r="N264" s="428"/>
      <c r="O264" s="316"/>
      <c r="P264" s="429"/>
      <c r="Q264" s="430"/>
      <c r="R264" s="539">
        <v>200</v>
      </c>
      <c r="S264" s="430">
        <f t="shared" si="31"/>
        <v>280</v>
      </c>
      <c r="T264" s="415"/>
      <c r="U264" s="431"/>
    </row>
    <row r="265" spans="1:21">
      <c r="A265" s="383"/>
      <c r="B265" s="384"/>
      <c r="C265" s="385"/>
      <c r="D265" s="432" t="s">
        <v>496</v>
      </c>
      <c r="E265" s="387">
        <v>1</v>
      </c>
      <c r="F265" s="388" t="s">
        <v>240</v>
      </c>
      <c r="G265" s="390">
        <f t="shared" si="47"/>
        <v>798</v>
      </c>
      <c r="H265" s="390">
        <f t="shared" si="48"/>
        <v>798</v>
      </c>
      <c r="I265" s="390">
        <v>200</v>
      </c>
      <c r="J265" s="389">
        <f t="shared" si="49"/>
        <v>200</v>
      </c>
      <c r="K265" s="434">
        <f t="shared" si="50"/>
        <v>998</v>
      </c>
      <c r="L265" s="486">
        <f t="shared" si="51"/>
        <v>998</v>
      </c>
      <c r="N265" s="428"/>
      <c r="O265" s="316"/>
      <c r="P265" s="429"/>
      <c r="Q265" s="430"/>
      <c r="R265" s="539">
        <v>570</v>
      </c>
      <c r="S265" s="430">
        <f t="shared" si="31"/>
        <v>798</v>
      </c>
      <c r="T265" s="415"/>
      <c r="U265" s="431"/>
    </row>
    <row r="266" spans="1:21">
      <c r="A266" s="383"/>
      <c r="B266" s="384"/>
      <c r="C266" s="385"/>
      <c r="D266" s="432" t="s">
        <v>497</v>
      </c>
      <c r="E266" s="387">
        <v>21</v>
      </c>
      <c r="F266" s="388" t="s">
        <v>87</v>
      </c>
      <c r="G266" s="390">
        <f t="shared" si="47"/>
        <v>112</v>
      </c>
      <c r="H266" s="390">
        <f t="shared" si="48"/>
        <v>2352</v>
      </c>
      <c r="I266" s="390">
        <v>28</v>
      </c>
      <c r="J266" s="389">
        <f t="shared" si="49"/>
        <v>588</v>
      </c>
      <c r="K266" s="434">
        <f t="shared" si="50"/>
        <v>140</v>
      </c>
      <c r="L266" s="486">
        <f t="shared" si="51"/>
        <v>2940</v>
      </c>
      <c r="N266" s="428"/>
      <c r="O266" s="316"/>
      <c r="P266" s="429"/>
      <c r="Q266" s="430"/>
      <c r="R266" s="539">
        <v>80</v>
      </c>
      <c r="S266" s="430">
        <f t="shared" si="31"/>
        <v>112</v>
      </c>
      <c r="T266" s="415"/>
      <c r="U266" s="431"/>
    </row>
    <row r="267" spans="1:21">
      <c r="A267" s="383"/>
      <c r="B267" s="384"/>
      <c r="C267" s="385"/>
      <c r="D267" s="432" t="s">
        <v>498</v>
      </c>
      <c r="E267" s="387">
        <v>20</v>
      </c>
      <c r="F267" s="388" t="s">
        <v>87</v>
      </c>
      <c r="G267" s="390">
        <f t="shared" si="47"/>
        <v>211</v>
      </c>
      <c r="H267" s="390">
        <f t="shared" si="48"/>
        <v>4220</v>
      </c>
      <c r="I267" s="390">
        <v>53</v>
      </c>
      <c r="J267" s="389">
        <f t="shared" si="49"/>
        <v>1060</v>
      </c>
      <c r="K267" s="434">
        <f t="shared" si="50"/>
        <v>264</v>
      </c>
      <c r="L267" s="486">
        <f t="shared" si="51"/>
        <v>5280</v>
      </c>
      <c r="N267" s="428"/>
      <c r="O267" s="316"/>
      <c r="P267" s="429"/>
      <c r="Q267" s="430"/>
      <c r="R267" s="539">
        <v>151</v>
      </c>
      <c r="S267" s="430">
        <f t="shared" si="31"/>
        <v>211</v>
      </c>
      <c r="T267" s="415"/>
      <c r="U267" s="431"/>
    </row>
    <row r="268" spans="1:21">
      <c r="A268" s="383"/>
      <c r="B268" s="384"/>
      <c r="C268" s="385" t="s">
        <v>499</v>
      </c>
      <c r="D268" s="432" t="s">
        <v>500</v>
      </c>
      <c r="E268" s="387"/>
      <c r="F268" s="388"/>
      <c r="G268" s="390"/>
      <c r="H268" s="390"/>
      <c r="I268" s="390"/>
      <c r="J268" s="389"/>
      <c r="K268" s="434"/>
      <c r="L268" s="496"/>
      <c r="N268" s="428"/>
      <c r="O268" s="316"/>
      <c r="P268" s="429"/>
      <c r="Q268" s="430"/>
      <c r="R268" s="539"/>
      <c r="S268" s="430">
        <f t="shared" si="31"/>
        <v>0</v>
      </c>
      <c r="T268" s="415"/>
      <c r="U268" s="431"/>
    </row>
    <row r="269" spans="1:21" s="549" customFormat="1">
      <c r="A269" s="542"/>
      <c r="B269" s="543"/>
      <c r="C269" s="544"/>
      <c r="D269" s="545" t="s">
        <v>501</v>
      </c>
      <c r="E269" s="560">
        <v>1</v>
      </c>
      <c r="F269" s="546" t="s">
        <v>240</v>
      </c>
      <c r="G269" s="390">
        <f t="shared" ref="G269:G270" si="52">S269</f>
        <v>173002</v>
      </c>
      <c r="H269" s="390">
        <f t="shared" ref="H269:H270" si="53">E269*G269</f>
        <v>173002</v>
      </c>
      <c r="I269" s="390">
        <v>98750</v>
      </c>
      <c r="J269" s="390">
        <f t="shared" ref="J269:J270" si="54">E269*I269</f>
        <v>98750</v>
      </c>
      <c r="K269" s="548">
        <f t="shared" ref="K269:K270" si="55">I269+G269</f>
        <v>271752</v>
      </c>
      <c r="L269" s="486">
        <f t="shared" ref="L269:L270" si="56">H269+J269</f>
        <v>271752</v>
      </c>
      <c r="N269" s="550"/>
      <c r="O269" s="551"/>
      <c r="P269" s="429"/>
      <c r="Q269" s="430"/>
      <c r="R269" s="539">
        <v>123573</v>
      </c>
      <c r="S269" s="430">
        <f t="shared" si="31"/>
        <v>173002</v>
      </c>
      <c r="T269" s="430"/>
      <c r="U269" s="431"/>
    </row>
    <row r="270" spans="1:21">
      <c r="A270" s="383"/>
      <c r="B270" s="384" t="s">
        <v>502</v>
      </c>
      <c r="C270" s="385"/>
      <c r="D270" s="432" t="s">
        <v>503</v>
      </c>
      <c r="E270" s="387">
        <v>1</v>
      </c>
      <c r="F270" s="388" t="s">
        <v>240</v>
      </c>
      <c r="G270" s="390">
        <f t="shared" si="52"/>
        <v>8400</v>
      </c>
      <c r="H270" s="390">
        <f t="shared" si="53"/>
        <v>8400</v>
      </c>
      <c r="I270" s="390">
        <v>2500</v>
      </c>
      <c r="J270" s="389">
        <f t="shared" si="54"/>
        <v>2500</v>
      </c>
      <c r="K270" s="434">
        <f t="shared" si="55"/>
        <v>10900</v>
      </c>
      <c r="L270" s="486">
        <f t="shared" si="56"/>
        <v>10900</v>
      </c>
      <c r="N270" s="428"/>
      <c r="O270" s="316"/>
      <c r="P270" s="429"/>
      <c r="Q270" s="430"/>
      <c r="R270" s="539">
        <v>6000</v>
      </c>
      <c r="S270" s="430">
        <f t="shared" si="31"/>
        <v>8400</v>
      </c>
      <c r="T270" s="415"/>
      <c r="U270" s="431"/>
    </row>
    <row r="271" spans="1:21">
      <c r="A271" s="383"/>
      <c r="B271" s="384"/>
      <c r="C271" s="385" t="s">
        <v>504</v>
      </c>
      <c r="D271" s="432" t="s">
        <v>505</v>
      </c>
      <c r="E271" s="387"/>
      <c r="F271" s="388"/>
      <c r="G271" s="390"/>
      <c r="H271" s="390"/>
      <c r="I271" s="390"/>
      <c r="J271" s="389"/>
      <c r="K271" s="434"/>
      <c r="L271" s="496"/>
      <c r="N271" s="428"/>
      <c r="O271" s="316"/>
      <c r="P271" s="429"/>
      <c r="Q271" s="430"/>
      <c r="R271" s="539"/>
      <c r="S271" s="430">
        <f t="shared" si="31"/>
        <v>0</v>
      </c>
      <c r="T271" s="415"/>
      <c r="U271" s="431"/>
    </row>
    <row r="272" spans="1:21">
      <c r="A272" s="383"/>
      <c r="B272" s="384"/>
      <c r="C272" s="385"/>
      <c r="D272" s="432" t="s">
        <v>506</v>
      </c>
      <c r="E272" s="387">
        <v>21</v>
      </c>
      <c r="F272" s="388" t="s">
        <v>240</v>
      </c>
      <c r="G272" s="390"/>
      <c r="H272" s="390" t="s">
        <v>507</v>
      </c>
      <c r="I272" s="390">
        <v>60</v>
      </c>
      <c r="J272" s="389">
        <f t="shared" ref="J272:J273" si="57">E272*I272</f>
        <v>1260</v>
      </c>
      <c r="K272" s="434">
        <f t="shared" ref="K272:K273" si="58">I272+G272</f>
        <v>60</v>
      </c>
      <c r="L272" s="486">
        <f>K272*E272</f>
        <v>1260</v>
      </c>
      <c r="N272" s="428"/>
      <c r="O272" s="316"/>
      <c r="P272" s="429"/>
      <c r="Q272" s="430"/>
      <c r="R272" s="539" t="s">
        <v>507</v>
      </c>
      <c r="S272" s="430" t="e">
        <f t="shared" si="31"/>
        <v>#VALUE!</v>
      </c>
      <c r="T272" s="415"/>
      <c r="U272" s="431"/>
    </row>
    <row r="273" spans="1:21">
      <c r="A273" s="383"/>
      <c r="B273" s="384"/>
      <c r="C273" s="385"/>
      <c r="D273" s="432" t="s">
        <v>508</v>
      </c>
      <c r="E273" s="387">
        <v>1</v>
      </c>
      <c r="F273" s="388" t="s">
        <v>240</v>
      </c>
      <c r="G273" s="390"/>
      <c r="H273" s="390" t="s">
        <v>507</v>
      </c>
      <c r="I273" s="390">
        <v>180</v>
      </c>
      <c r="J273" s="389">
        <f t="shared" si="57"/>
        <v>180</v>
      </c>
      <c r="K273" s="434">
        <f t="shared" si="58"/>
        <v>180</v>
      </c>
      <c r="L273" s="486">
        <f>K273*E273</f>
        <v>180</v>
      </c>
      <c r="N273" s="428"/>
      <c r="O273" s="316"/>
      <c r="P273" s="429"/>
      <c r="Q273" s="430"/>
      <c r="R273" s="539" t="s">
        <v>507</v>
      </c>
      <c r="S273" s="430" t="e">
        <f t="shared" si="31"/>
        <v>#VALUE!</v>
      </c>
      <c r="T273" s="415"/>
      <c r="U273" s="431"/>
    </row>
    <row r="274" spans="1:21">
      <c r="A274" s="383"/>
      <c r="B274" s="384"/>
      <c r="C274" s="385" t="s">
        <v>509</v>
      </c>
      <c r="D274" s="432" t="s">
        <v>510</v>
      </c>
      <c r="E274" s="387"/>
      <c r="F274" s="388"/>
      <c r="G274" s="390"/>
      <c r="H274" s="390"/>
      <c r="I274" s="390"/>
      <c r="J274" s="389"/>
      <c r="K274" s="434"/>
      <c r="L274" s="496"/>
      <c r="N274" s="428"/>
      <c r="O274" s="316"/>
      <c r="P274" s="429"/>
      <c r="Q274" s="430"/>
      <c r="R274" s="539"/>
      <c r="S274" s="430">
        <f t="shared" si="31"/>
        <v>0</v>
      </c>
      <c r="T274" s="415"/>
      <c r="U274" s="431"/>
    </row>
    <row r="275" spans="1:21">
      <c r="A275" s="383"/>
      <c r="B275" s="384"/>
      <c r="C275" s="385"/>
      <c r="D275" s="432" t="s">
        <v>511</v>
      </c>
      <c r="E275" s="387"/>
      <c r="F275" s="388"/>
      <c r="G275" s="390"/>
      <c r="H275" s="390"/>
      <c r="I275" s="390"/>
      <c r="J275" s="389"/>
      <c r="K275" s="434"/>
      <c r="L275" s="496"/>
      <c r="N275" s="428"/>
      <c r="O275" s="316"/>
      <c r="P275" s="429"/>
      <c r="Q275" s="430"/>
      <c r="R275" s="539"/>
      <c r="S275" s="430">
        <f t="shared" si="31"/>
        <v>0</v>
      </c>
      <c r="T275" s="415"/>
      <c r="U275" s="431"/>
    </row>
    <row r="276" spans="1:21">
      <c r="A276" s="383"/>
      <c r="B276" s="384"/>
      <c r="C276" s="385"/>
      <c r="D276" s="432" t="s">
        <v>512</v>
      </c>
      <c r="E276" s="387">
        <v>150</v>
      </c>
      <c r="F276" s="388" t="s">
        <v>87</v>
      </c>
      <c r="G276" s="390">
        <f t="shared" ref="G276:G280" si="59">S276</f>
        <v>39</v>
      </c>
      <c r="H276" s="390">
        <f t="shared" ref="H276:H280" si="60">E276*G276</f>
        <v>5850</v>
      </c>
      <c r="I276" s="390">
        <v>0</v>
      </c>
      <c r="J276" s="389">
        <f t="shared" ref="J276:J280" si="61">E276*I276</f>
        <v>0</v>
      </c>
      <c r="K276" s="434">
        <f t="shared" ref="K276:K280" si="62">I276+G276</f>
        <v>39</v>
      </c>
      <c r="L276" s="486">
        <f t="shared" ref="L276:L280" si="63">H276+J276</f>
        <v>5850</v>
      </c>
      <c r="N276" s="428"/>
      <c r="O276" s="316"/>
      <c r="P276" s="429"/>
      <c r="Q276" s="430"/>
      <c r="R276" s="539">
        <v>28</v>
      </c>
      <c r="S276" s="430">
        <f t="shared" si="31"/>
        <v>39</v>
      </c>
      <c r="T276" s="415"/>
      <c r="U276" s="431"/>
    </row>
    <row r="277" spans="1:21">
      <c r="A277" s="383"/>
      <c r="B277" s="384"/>
      <c r="C277" s="385"/>
      <c r="D277" s="432" t="s">
        <v>513</v>
      </c>
      <c r="E277" s="387">
        <v>90</v>
      </c>
      <c r="F277" s="388" t="s">
        <v>87</v>
      </c>
      <c r="G277" s="390">
        <f t="shared" si="59"/>
        <v>6</v>
      </c>
      <c r="H277" s="390">
        <f t="shared" si="60"/>
        <v>540</v>
      </c>
      <c r="I277" s="390">
        <v>0</v>
      </c>
      <c r="J277" s="389">
        <f t="shared" si="61"/>
        <v>0</v>
      </c>
      <c r="K277" s="434">
        <f t="shared" si="62"/>
        <v>6</v>
      </c>
      <c r="L277" s="486">
        <f t="shared" si="63"/>
        <v>540</v>
      </c>
      <c r="N277" s="428"/>
      <c r="O277" s="316"/>
      <c r="P277" s="429"/>
      <c r="Q277" s="430"/>
      <c r="R277" s="539">
        <v>4</v>
      </c>
      <c r="S277" s="430">
        <f t="shared" si="31"/>
        <v>6</v>
      </c>
      <c r="T277" s="415"/>
      <c r="U277" s="431"/>
    </row>
    <row r="278" spans="1:21">
      <c r="A278" s="383"/>
      <c r="B278" s="384"/>
      <c r="C278" s="385"/>
      <c r="D278" s="432" t="s">
        <v>514</v>
      </c>
      <c r="E278" s="387">
        <v>525</v>
      </c>
      <c r="F278" s="388" t="s">
        <v>87</v>
      </c>
      <c r="G278" s="390">
        <f t="shared" si="59"/>
        <v>6</v>
      </c>
      <c r="H278" s="390">
        <f t="shared" si="60"/>
        <v>3150</v>
      </c>
      <c r="I278" s="390">
        <v>0</v>
      </c>
      <c r="J278" s="389">
        <f t="shared" si="61"/>
        <v>0</v>
      </c>
      <c r="K278" s="434">
        <f t="shared" si="62"/>
        <v>6</v>
      </c>
      <c r="L278" s="486">
        <f t="shared" si="63"/>
        <v>3150</v>
      </c>
      <c r="N278" s="428"/>
      <c r="O278" s="316"/>
      <c r="P278" s="429"/>
      <c r="Q278" s="430"/>
      <c r="R278" s="539">
        <v>4</v>
      </c>
      <c r="S278" s="430">
        <f t="shared" si="31"/>
        <v>6</v>
      </c>
      <c r="T278" s="415"/>
      <c r="U278" s="431"/>
    </row>
    <row r="279" spans="1:21">
      <c r="A279" s="383"/>
      <c r="B279" s="384"/>
      <c r="C279" s="385"/>
      <c r="D279" s="432" t="s">
        <v>515</v>
      </c>
      <c r="E279" s="387">
        <v>105</v>
      </c>
      <c r="F279" s="388" t="s">
        <v>87</v>
      </c>
      <c r="G279" s="390">
        <f t="shared" si="59"/>
        <v>8</v>
      </c>
      <c r="H279" s="390">
        <f t="shared" si="60"/>
        <v>840</v>
      </c>
      <c r="I279" s="390">
        <v>0</v>
      </c>
      <c r="J279" s="389">
        <f t="shared" si="61"/>
        <v>0</v>
      </c>
      <c r="K279" s="434">
        <f t="shared" si="62"/>
        <v>8</v>
      </c>
      <c r="L279" s="486">
        <f t="shared" si="63"/>
        <v>840</v>
      </c>
      <c r="N279" s="428"/>
      <c r="O279" s="316"/>
      <c r="P279" s="429"/>
      <c r="Q279" s="430"/>
      <c r="R279" s="539">
        <v>6</v>
      </c>
      <c r="S279" s="430">
        <f t="shared" si="31"/>
        <v>8</v>
      </c>
      <c r="T279" s="415"/>
      <c r="U279" s="431"/>
    </row>
    <row r="280" spans="1:21">
      <c r="A280" s="383"/>
      <c r="B280" s="384"/>
      <c r="C280" s="385"/>
      <c r="D280" s="432" t="s">
        <v>516</v>
      </c>
      <c r="E280" s="387">
        <v>200</v>
      </c>
      <c r="F280" s="388" t="s">
        <v>87</v>
      </c>
      <c r="G280" s="390">
        <f t="shared" si="59"/>
        <v>3</v>
      </c>
      <c r="H280" s="390">
        <f t="shared" si="60"/>
        <v>600</v>
      </c>
      <c r="I280" s="390">
        <v>0</v>
      </c>
      <c r="J280" s="389">
        <f t="shared" si="61"/>
        <v>0</v>
      </c>
      <c r="K280" s="434">
        <f t="shared" si="62"/>
        <v>3</v>
      </c>
      <c r="L280" s="486">
        <f t="shared" si="63"/>
        <v>600</v>
      </c>
      <c r="N280" s="428"/>
      <c r="O280" s="316"/>
      <c r="P280" s="429"/>
      <c r="Q280" s="430"/>
      <c r="R280" s="539">
        <v>2</v>
      </c>
      <c r="S280" s="430">
        <f t="shared" si="31"/>
        <v>3</v>
      </c>
      <c r="T280" s="415"/>
      <c r="U280" s="431"/>
    </row>
    <row r="281" spans="1:21">
      <c r="A281" s="383"/>
      <c r="B281" s="384"/>
      <c r="C281" s="385"/>
      <c r="D281" s="432" t="s">
        <v>517</v>
      </c>
      <c r="E281" s="387"/>
      <c r="F281" s="388"/>
      <c r="G281" s="390"/>
      <c r="H281" s="390"/>
      <c r="I281" s="390">
        <v>0</v>
      </c>
      <c r="J281" s="389"/>
      <c r="K281" s="434"/>
      <c r="L281" s="496"/>
      <c r="N281" s="428"/>
      <c r="O281" s="316"/>
      <c r="P281" s="429"/>
      <c r="Q281" s="430"/>
      <c r="R281" s="539"/>
      <c r="S281" s="430">
        <f t="shared" si="31"/>
        <v>0</v>
      </c>
      <c r="T281" s="415"/>
      <c r="U281" s="431"/>
    </row>
    <row r="282" spans="1:21">
      <c r="A282" s="383"/>
      <c r="B282" s="384"/>
      <c r="C282" s="385"/>
      <c r="D282" s="432" t="s">
        <v>518</v>
      </c>
      <c r="E282" s="387">
        <v>20</v>
      </c>
      <c r="F282" s="388" t="s">
        <v>87</v>
      </c>
      <c r="G282" s="390">
        <f t="shared" ref="G282:G284" si="64">S282</f>
        <v>11</v>
      </c>
      <c r="H282" s="390">
        <f t="shared" ref="H282:H284" si="65">E282*G282</f>
        <v>220</v>
      </c>
      <c r="I282" s="390">
        <v>0</v>
      </c>
      <c r="J282" s="389">
        <f t="shared" ref="J282:J284" si="66">E282*I282</f>
        <v>0</v>
      </c>
      <c r="K282" s="434">
        <f t="shared" ref="K282:K284" si="67">I282+G282</f>
        <v>11</v>
      </c>
      <c r="L282" s="486">
        <f t="shared" ref="L282:L284" si="68">H282+J282</f>
        <v>220</v>
      </c>
      <c r="N282" s="428"/>
      <c r="O282" s="316"/>
      <c r="P282" s="429"/>
      <c r="Q282" s="430"/>
      <c r="R282" s="539">
        <v>8</v>
      </c>
      <c r="S282" s="430">
        <f t="shared" si="31"/>
        <v>11</v>
      </c>
      <c r="T282" s="415"/>
      <c r="U282" s="431"/>
    </row>
    <row r="283" spans="1:21">
      <c r="A283" s="383"/>
      <c r="B283" s="384"/>
      <c r="C283" s="385"/>
      <c r="D283" s="432" t="s">
        <v>519</v>
      </c>
      <c r="E283" s="387">
        <v>25</v>
      </c>
      <c r="F283" s="388" t="s">
        <v>87</v>
      </c>
      <c r="G283" s="390">
        <f t="shared" si="64"/>
        <v>14</v>
      </c>
      <c r="H283" s="390">
        <f t="shared" si="65"/>
        <v>350</v>
      </c>
      <c r="I283" s="390">
        <v>0</v>
      </c>
      <c r="J283" s="389">
        <f t="shared" si="66"/>
        <v>0</v>
      </c>
      <c r="K283" s="434">
        <f t="shared" si="67"/>
        <v>14</v>
      </c>
      <c r="L283" s="486">
        <f t="shared" si="68"/>
        <v>350</v>
      </c>
      <c r="N283" s="428"/>
      <c r="O283" s="316"/>
      <c r="P283" s="429"/>
      <c r="Q283" s="430"/>
      <c r="R283" s="539">
        <v>10</v>
      </c>
      <c r="S283" s="430">
        <f t="shared" si="31"/>
        <v>14</v>
      </c>
      <c r="T283" s="415"/>
      <c r="U283" s="431"/>
    </row>
    <row r="284" spans="1:21">
      <c r="A284" s="383"/>
      <c r="B284" s="384"/>
      <c r="C284" s="385"/>
      <c r="D284" s="432" t="s">
        <v>520</v>
      </c>
      <c r="E284" s="387">
        <v>25</v>
      </c>
      <c r="F284" s="388" t="s">
        <v>87</v>
      </c>
      <c r="G284" s="390">
        <f t="shared" si="64"/>
        <v>21</v>
      </c>
      <c r="H284" s="390">
        <f t="shared" si="65"/>
        <v>525</v>
      </c>
      <c r="I284" s="390">
        <v>0</v>
      </c>
      <c r="J284" s="389">
        <f t="shared" si="66"/>
        <v>0</v>
      </c>
      <c r="K284" s="434">
        <f t="shared" si="67"/>
        <v>21</v>
      </c>
      <c r="L284" s="486">
        <f t="shared" si="68"/>
        <v>525</v>
      </c>
      <c r="N284" s="428"/>
      <c r="O284" s="316"/>
      <c r="P284" s="429"/>
      <c r="Q284" s="430"/>
      <c r="R284" s="539">
        <v>15</v>
      </c>
      <c r="S284" s="430">
        <f t="shared" si="31"/>
        <v>21</v>
      </c>
      <c r="T284" s="415"/>
      <c r="U284" s="431"/>
    </row>
    <row r="285" spans="1:21">
      <c r="A285" s="383"/>
      <c r="B285" s="384"/>
      <c r="C285" s="385"/>
      <c r="D285" s="432" t="s">
        <v>521</v>
      </c>
      <c r="E285" s="387"/>
      <c r="F285" s="388"/>
      <c r="G285" s="390"/>
      <c r="H285" s="390"/>
      <c r="I285" s="390">
        <v>0</v>
      </c>
      <c r="J285" s="389"/>
      <c r="K285" s="434"/>
      <c r="L285" s="496"/>
      <c r="N285" s="428"/>
      <c r="O285" s="316"/>
      <c r="P285" s="429"/>
      <c r="Q285" s="430"/>
      <c r="R285" s="539"/>
      <c r="S285" s="430">
        <f t="shared" si="31"/>
        <v>0</v>
      </c>
      <c r="T285" s="415"/>
      <c r="U285" s="431"/>
    </row>
    <row r="286" spans="1:21">
      <c r="A286" s="383"/>
      <c r="B286" s="384"/>
      <c r="C286" s="385"/>
      <c r="D286" s="432" t="s">
        <v>522</v>
      </c>
      <c r="E286" s="387">
        <v>65</v>
      </c>
      <c r="F286" s="388" t="s">
        <v>87</v>
      </c>
      <c r="G286" s="390">
        <f t="shared" ref="G286:G287" si="69">S286</f>
        <v>15</v>
      </c>
      <c r="H286" s="390">
        <f t="shared" ref="H286:H287" si="70">E286*G286</f>
        <v>975</v>
      </c>
      <c r="I286" s="390">
        <v>0</v>
      </c>
      <c r="J286" s="389">
        <f t="shared" ref="J286:J287" si="71">E286*I286</f>
        <v>0</v>
      </c>
      <c r="K286" s="434">
        <f t="shared" ref="K286:K287" si="72">I286+G286</f>
        <v>15</v>
      </c>
      <c r="L286" s="486">
        <f t="shared" ref="L286:L287" si="73">H286+J286</f>
        <v>975</v>
      </c>
      <c r="N286" s="428"/>
      <c r="O286" s="316"/>
      <c r="P286" s="429"/>
      <c r="Q286" s="430"/>
      <c r="R286" s="539">
        <v>11</v>
      </c>
      <c r="S286" s="430">
        <f t="shared" si="31"/>
        <v>15</v>
      </c>
      <c r="T286" s="415"/>
      <c r="U286" s="431"/>
    </row>
    <row r="287" spans="1:21">
      <c r="A287" s="383"/>
      <c r="B287" s="384"/>
      <c r="C287" s="385"/>
      <c r="D287" s="432" t="s">
        <v>523</v>
      </c>
      <c r="E287" s="387">
        <v>84</v>
      </c>
      <c r="F287" s="388" t="s">
        <v>87</v>
      </c>
      <c r="G287" s="390">
        <f t="shared" si="69"/>
        <v>18</v>
      </c>
      <c r="H287" s="390">
        <f t="shared" si="70"/>
        <v>1512</v>
      </c>
      <c r="I287" s="390">
        <v>0</v>
      </c>
      <c r="J287" s="389">
        <f t="shared" si="71"/>
        <v>0</v>
      </c>
      <c r="K287" s="434">
        <f t="shared" si="72"/>
        <v>18</v>
      </c>
      <c r="L287" s="486">
        <f t="shared" si="73"/>
        <v>1512</v>
      </c>
      <c r="N287" s="428"/>
      <c r="O287" s="316"/>
      <c r="P287" s="429"/>
      <c r="Q287" s="430"/>
      <c r="R287" s="539">
        <v>13</v>
      </c>
      <c r="S287" s="430">
        <f t="shared" si="31"/>
        <v>18</v>
      </c>
      <c r="T287" s="415"/>
      <c r="U287" s="431"/>
    </row>
    <row r="288" spans="1:21">
      <c r="A288" s="383"/>
      <c r="B288" s="384"/>
      <c r="C288" s="385"/>
      <c r="D288" s="432" t="s">
        <v>524</v>
      </c>
      <c r="E288" s="387"/>
      <c r="F288" s="388"/>
      <c r="G288" s="390"/>
      <c r="H288" s="390"/>
      <c r="I288" s="390">
        <v>0</v>
      </c>
      <c r="J288" s="389"/>
      <c r="K288" s="434"/>
      <c r="L288" s="496"/>
      <c r="N288" s="428"/>
      <c r="O288" s="316"/>
      <c r="P288" s="429"/>
      <c r="Q288" s="430"/>
      <c r="R288" s="539"/>
      <c r="S288" s="430">
        <f t="shared" si="31"/>
        <v>0</v>
      </c>
      <c r="T288" s="415"/>
      <c r="U288" s="431"/>
    </row>
    <row r="289" spans="1:21">
      <c r="A289" s="383"/>
      <c r="B289" s="384"/>
      <c r="C289" s="385"/>
      <c r="D289" s="432" t="s">
        <v>525</v>
      </c>
      <c r="E289" s="387">
        <v>23</v>
      </c>
      <c r="F289" s="388" t="s">
        <v>87</v>
      </c>
      <c r="G289" s="390">
        <f t="shared" ref="G289:G292" si="74">S289</f>
        <v>35</v>
      </c>
      <c r="H289" s="390">
        <f t="shared" ref="H289:H292" si="75">E289*G289</f>
        <v>805</v>
      </c>
      <c r="I289" s="390">
        <v>0</v>
      </c>
      <c r="J289" s="389">
        <f t="shared" ref="J289:J292" si="76">E289*I289</f>
        <v>0</v>
      </c>
      <c r="K289" s="434">
        <f t="shared" ref="K289:K292" si="77">I289+G289</f>
        <v>35</v>
      </c>
      <c r="L289" s="486">
        <f t="shared" ref="L289:L292" si="78">H289+J289</f>
        <v>805</v>
      </c>
      <c r="N289" s="428"/>
      <c r="O289" s="316"/>
      <c r="P289" s="429"/>
      <c r="Q289" s="430"/>
      <c r="R289" s="539">
        <v>25</v>
      </c>
      <c r="S289" s="430">
        <f t="shared" si="31"/>
        <v>35</v>
      </c>
      <c r="T289" s="415"/>
      <c r="U289" s="431"/>
    </row>
    <row r="290" spans="1:21">
      <c r="A290" s="383"/>
      <c r="B290" s="384"/>
      <c r="C290" s="385"/>
      <c r="D290" s="432" t="s">
        <v>526</v>
      </c>
      <c r="E290" s="387">
        <v>45</v>
      </c>
      <c r="F290" s="388" t="s">
        <v>87</v>
      </c>
      <c r="G290" s="390">
        <f t="shared" si="74"/>
        <v>43</v>
      </c>
      <c r="H290" s="390">
        <f t="shared" si="75"/>
        <v>1935</v>
      </c>
      <c r="I290" s="390">
        <v>0</v>
      </c>
      <c r="J290" s="389">
        <f t="shared" si="76"/>
        <v>0</v>
      </c>
      <c r="K290" s="434">
        <f t="shared" si="77"/>
        <v>43</v>
      </c>
      <c r="L290" s="486">
        <f t="shared" si="78"/>
        <v>1935</v>
      </c>
      <c r="N290" s="428"/>
      <c r="O290" s="316"/>
      <c r="P290" s="429"/>
      <c r="Q290" s="430"/>
      <c r="R290" s="539">
        <v>31</v>
      </c>
      <c r="S290" s="430">
        <f t="shared" si="31"/>
        <v>43</v>
      </c>
      <c r="T290" s="415"/>
      <c r="U290" s="431"/>
    </row>
    <row r="291" spans="1:21">
      <c r="A291" s="383"/>
      <c r="B291" s="384"/>
      <c r="C291" s="385"/>
      <c r="D291" s="432" t="s">
        <v>527</v>
      </c>
      <c r="E291" s="387">
        <v>23</v>
      </c>
      <c r="F291" s="388" t="s">
        <v>87</v>
      </c>
      <c r="G291" s="390">
        <f t="shared" si="74"/>
        <v>155</v>
      </c>
      <c r="H291" s="390">
        <f t="shared" si="75"/>
        <v>3565</v>
      </c>
      <c r="I291" s="390">
        <v>0</v>
      </c>
      <c r="J291" s="389">
        <f t="shared" si="76"/>
        <v>0</v>
      </c>
      <c r="K291" s="434">
        <f t="shared" si="77"/>
        <v>155</v>
      </c>
      <c r="L291" s="486">
        <f t="shared" si="78"/>
        <v>3565</v>
      </c>
      <c r="N291" s="428"/>
      <c r="O291" s="316"/>
      <c r="P291" s="429"/>
      <c r="Q291" s="430"/>
      <c r="R291" s="539">
        <v>111</v>
      </c>
      <c r="S291" s="430">
        <f t="shared" si="31"/>
        <v>155</v>
      </c>
      <c r="T291" s="415"/>
      <c r="U291" s="431"/>
    </row>
    <row r="292" spans="1:21">
      <c r="A292" s="383"/>
      <c r="B292" s="384"/>
      <c r="C292" s="385"/>
      <c r="D292" s="432" t="s">
        <v>528</v>
      </c>
      <c r="E292" s="387">
        <v>26</v>
      </c>
      <c r="F292" s="388" t="s">
        <v>87</v>
      </c>
      <c r="G292" s="390">
        <f t="shared" si="74"/>
        <v>266</v>
      </c>
      <c r="H292" s="390">
        <f t="shared" si="75"/>
        <v>6916</v>
      </c>
      <c r="I292" s="390">
        <v>0</v>
      </c>
      <c r="J292" s="389">
        <f t="shared" si="76"/>
        <v>0</v>
      </c>
      <c r="K292" s="434">
        <f t="shared" si="77"/>
        <v>266</v>
      </c>
      <c r="L292" s="486">
        <f t="shared" si="78"/>
        <v>6916</v>
      </c>
      <c r="N292" s="428"/>
      <c r="O292" s="316"/>
      <c r="P292" s="429"/>
      <c r="Q292" s="430"/>
      <c r="R292" s="539">
        <v>190</v>
      </c>
      <c r="S292" s="430">
        <f t="shared" si="31"/>
        <v>266</v>
      </c>
      <c r="T292" s="415"/>
      <c r="U292" s="431"/>
    </row>
    <row r="293" spans="1:21">
      <c r="A293" s="383"/>
      <c r="B293" s="384"/>
      <c r="C293" s="385"/>
      <c r="D293" s="432" t="s">
        <v>529</v>
      </c>
      <c r="E293" s="387"/>
      <c r="F293" s="388"/>
      <c r="G293" s="390"/>
      <c r="H293" s="390"/>
      <c r="I293" s="390">
        <v>0</v>
      </c>
      <c r="J293" s="389"/>
      <c r="K293" s="434"/>
      <c r="L293" s="496"/>
      <c r="N293" s="428"/>
      <c r="O293" s="316"/>
      <c r="P293" s="429"/>
      <c r="Q293" s="430"/>
      <c r="R293" s="539"/>
      <c r="S293" s="430">
        <f t="shared" si="31"/>
        <v>0</v>
      </c>
      <c r="T293" s="415"/>
      <c r="U293" s="431"/>
    </row>
    <row r="294" spans="1:21">
      <c r="A294" s="383"/>
      <c r="B294" s="384"/>
      <c r="C294" s="385"/>
      <c r="D294" s="432" t="s">
        <v>530</v>
      </c>
      <c r="E294" s="387">
        <v>23</v>
      </c>
      <c r="F294" s="388" t="s">
        <v>87</v>
      </c>
      <c r="G294" s="390">
        <f t="shared" ref="G294:G299" si="79">S294</f>
        <v>49</v>
      </c>
      <c r="H294" s="390">
        <f t="shared" ref="H294:H299" si="80">E294*G294</f>
        <v>1127</v>
      </c>
      <c r="I294" s="390">
        <v>0</v>
      </c>
      <c r="J294" s="389">
        <f t="shared" ref="J294:J299" si="81">E294*I294</f>
        <v>0</v>
      </c>
      <c r="K294" s="434">
        <f t="shared" ref="K294:K299" si="82">I294+G294</f>
        <v>49</v>
      </c>
      <c r="L294" s="486">
        <f t="shared" ref="L294:L299" si="83">H294+J294</f>
        <v>1127</v>
      </c>
      <c r="N294" s="428"/>
      <c r="O294" s="316"/>
      <c r="P294" s="429"/>
      <c r="Q294" s="430"/>
      <c r="R294" s="539">
        <v>35</v>
      </c>
      <c r="S294" s="430">
        <f t="shared" si="31"/>
        <v>49</v>
      </c>
      <c r="T294" s="415"/>
      <c r="U294" s="431"/>
    </row>
    <row r="295" spans="1:21">
      <c r="A295" s="383"/>
      <c r="B295" s="384"/>
      <c r="C295" s="385"/>
      <c r="D295" s="432" t="s">
        <v>531</v>
      </c>
      <c r="E295" s="387">
        <v>43</v>
      </c>
      <c r="F295" s="388" t="s">
        <v>87</v>
      </c>
      <c r="G295" s="390">
        <f t="shared" si="79"/>
        <v>106</v>
      </c>
      <c r="H295" s="390">
        <f t="shared" si="80"/>
        <v>4558</v>
      </c>
      <c r="I295" s="390">
        <v>0</v>
      </c>
      <c r="J295" s="389">
        <f t="shared" si="81"/>
        <v>0</v>
      </c>
      <c r="K295" s="434">
        <f t="shared" si="82"/>
        <v>106</v>
      </c>
      <c r="L295" s="486">
        <f t="shared" si="83"/>
        <v>4558</v>
      </c>
      <c r="N295" s="428"/>
      <c r="O295" s="316"/>
      <c r="P295" s="429"/>
      <c r="Q295" s="430"/>
      <c r="R295" s="539">
        <v>76</v>
      </c>
      <c r="S295" s="430">
        <f t="shared" si="31"/>
        <v>106</v>
      </c>
      <c r="T295" s="415"/>
      <c r="U295" s="431"/>
    </row>
    <row r="296" spans="1:21">
      <c r="A296" s="383"/>
      <c r="B296" s="384"/>
      <c r="C296" s="385"/>
      <c r="D296" s="432" t="s">
        <v>532</v>
      </c>
      <c r="E296" s="387">
        <v>23</v>
      </c>
      <c r="F296" s="388" t="s">
        <v>87</v>
      </c>
      <c r="G296" s="390">
        <f t="shared" si="79"/>
        <v>136</v>
      </c>
      <c r="H296" s="390">
        <f t="shared" si="80"/>
        <v>3128</v>
      </c>
      <c r="I296" s="390">
        <v>0</v>
      </c>
      <c r="J296" s="389">
        <f t="shared" si="81"/>
        <v>0</v>
      </c>
      <c r="K296" s="434">
        <f t="shared" si="82"/>
        <v>136</v>
      </c>
      <c r="L296" s="486">
        <f t="shared" si="83"/>
        <v>3128</v>
      </c>
      <c r="N296" s="428"/>
      <c r="O296" s="316"/>
      <c r="P296" s="429"/>
      <c r="Q296" s="430"/>
      <c r="R296" s="539">
        <v>97</v>
      </c>
      <c r="S296" s="430">
        <f t="shared" si="31"/>
        <v>136</v>
      </c>
      <c r="T296" s="415"/>
      <c r="U296" s="431"/>
    </row>
    <row r="297" spans="1:21">
      <c r="A297" s="383"/>
      <c r="B297" s="384"/>
      <c r="C297" s="385"/>
      <c r="D297" s="432" t="s">
        <v>533</v>
      </c>
      <c r="E297" s="387">
        <v>23</v>
      </c>
      <c r="F297" s="388" t="s">
        <v>87</v>
      </c>
      <c r="G297" s="390">
        <f t="shared" si="79"/>
        <v>136</v>
      </c>
      <c r="H297" s="390">
        <f t="shared" si="80"/>
        <v>3128</v>
      </c>
      <c r="I297" s="390">
        <v>0</v>
      </c>
      <c r="J297" s="389">
        <f t="shared" si="81"/>
        <v>0</v>
      </c>
      <c r="K297" s="434">
        <f t="shared" si="82"/>
        <v>136</v>
      </c>
      <c r="L297" s="486">
        <f t="shared" si="83"/>
        <v>3128</v>
      </c>
      <c r="N297" s="428"/>
      <c r="O297" s="316"/>
      <c r="P297" s="429"/>
      <c r="Q297" s="430"/>
      <c r="R297" s="539">
        <v>97</v>
      </c>
      <c r="S297" s="430">
        <f t="shared" si="31"/>
        <v>136</v>
      </c>
      <c r="T297" s="415"/>
      <c r="U297" s="431"/>
    </row>
    <row r="298" spans="1:21">
      <c r="A298" s="383"/>
      <c r="B298" s="384"/>
      <c r="C298" s="385"/>
      <c r="D298" s="432" t="s">
        <v>534</v>
      </c>
      <c r="E298" s="387">
        <v>23</v>
      </c>
      <c r="F298" s="388" t="s">
        <v>87</v>
      </c>
      <c r="G298" s="390">
        <f t="shared" si="79"/>
        <v>242</v>
      </c>
      <c r="H298" s="390">
        <f t="shared" si="80"/>
        <v>5566</v>
      </c>
      <c r="I298" s="390">
        <v>0</v>
      </c>
      <c r="J298" s="389">
        <f t="shared" si="81"/>
        <v>0</v>
      </c>
      <c r="K298" s="434">
        <f t="shared" si="82"/>
        <v>242</v>
      </c>
      <c r="L298" s="486">
        <f t="shared" si="83"/>
        <v>5566</v>
      </c>
      <c r="N298" s="428"/>
      <c r="O298" s="316"/>
      <c r="P298" s="429"/>
      <c r="Q298" s="430"/>
      <c r="R298" s="539">
        <v>173</v>
      </c>
      <c r="S298" s="430">
        <f t="shared" ref="S298:S314" si="84">ROUND(R298*$S$9,0)</f>
        <v>242</v>
      </c>
      <c r="T298" s="415"/>
      <c r="U298" s="431"/>
    </row>
    <row r="299" spans="1:21">
      <c r="A299" s="383"/>
      <c r="B299" s="384"/>
      <c r="C299" s="385"/>
      <c r="D299" s="432" t="s">
        <v>535</v>
      </c>
      <c r="E299" s="387">
        <v>23</v>
      </c>
      <c r="F299" s="388" t="s">
        <v>87</v>
      </c>
      <c r="G299" s="390">
        <f t="shared" si="79"/>
        <v>510</v>
      </c>
      <c r="H299" s="390">
        <f t="shared" si="80"/>
        <v>11730</v>
      </c>
      <c r="I299" s="390">
        <v>0</v>
      </c>
      <c r="J299" s="389">
        <f t="shared" si="81"/>
        <v>0</v>
      </c>
      <c r="K299" s="434">
        <f t="shared" si="82"/>
        <v>510</v>
      </c>
      <c r="L299" s="486">
        <f t="shared" si="83"/>
        <v>11730</v>
      </c>
      <c r="N299" s="428"/>
      <c r="O299" s="316"/>
      <c r="P299" s="429"/>
      <c r="Q299" s="430"/>
      <c r="R299" s="539">
        <v>364</v>
      </c>
      <c r="S299" s="430">
        <f t="shared" si="84"/>
        <v>510</v>
      </c>
      <c r="T299" s="415"/>
      <c r="U299" s="431"/>
    </row>
    <row r="300" spans="1:21">
      <c r="A300" s="383"/>
      <c r="B300" s="384"/>
      <c r="C300" s="385"/>
      <c r="D300" s="432" t="s">
        <v>536</v>
      </c>
      <c r="E300" s="387"/>
      <c r="F300" s="388"/>
      <c r="G300" s="390"/>
      <c r="H300" s="390"/>
      <c r="I300" s="390">
        <v>0</v>
      </c>
      <c r="J300" s="389"/>
      <c r="K300" s="434"/>
      <c r="L300" s="496"/>
      <c r="N300" s="428"/>
      <c r="O300" s="316"/>
      <c r="P300" s="429"/>
      <c r="Q300" s="430"/>
      <c r="R300" s="539"/>
      <c r="S300" s="430">
        <f t="shared" si="84"/>
        <v>0</v>
      </c>
      <c r="T300" s="415"/>
      <c r="U300" s="431"/>
    </row>
    <row r="301" spans="1:21">
      <c r="A301" s="383"/>
      <c r="B301" s="384"/>
      <c r="C301" s="385"/>
      <c r="D301" s="432" t="s">
        <v>537</v>
      </c>
      <c r="E301" s="387">
        <v>23</v>
      </c>
      <c r="F301" s="388" t="s">
        <v>87</v>
      </c>
      <c r="G301" s="390">
        <f t="shared" ref="G301:G305" si="85">S301</f>
        <v>263</v>
      </c>
      <c r="H301" s="390">
        <f t="shared" ref="H301:H305" si="86">E301*G301</f>
        <v>6049</v>
      </c>
      <c r="I301" s="390">
        <v>0</v>
      </c>
      <c r="J301" s="389">
        <f t="shared" ref="J301:J305" si="87">E301*I301</f>
        <v>0</v>
      </c>
      <c r="K301" s="434">
        <f t="shared" ref="K301:K305" si="88">I301+G301</f>
        <v>263</v>
      </c>
      <c r="L301" s="486">
        <f t="shared" ref="L301:L305" si="89">H301+J301</f>
        <v>6049</v>
      </c>
      <c r="N301" s="428"/>
      <c r="O301" s="316"/>
      <c r="P301" s="429"/>
      <c r="Q301" s="430"/>
      <c r="R301" s="539">
        <v>188</v>
      </c>
      <c r="S301" s="430">
        <f t="shared" si="84"/>
        <v>263</v>
      </c>
      <c r="T301" s="415"/>
      <c r="U301" s="431"/>
    </row>
    <row r="302" spans="1:21">
      <c r="A302" s="383"/>
      <c r="B302" s="384"/>
      <c r="C302" s="385"/>
      <c r="D302" s="432" t="s">
        <v>538</v>
      </c>
      <c r="E302" s="387">
        <v>6</v>
      </c>
      <c r="F302" s="388" t="s">
        <v>87</v>
      </c>
      <c r="G302" s="390">
        <f t="shared" si="85"/>
        <v>346</v>
      </c>
      <c r="H302" s="390">
        <f t="shared" si="86"/>
        <v>2076</v>
      </c>
      <c r="I302" s="390">
        <v>0</v>
      </c>
      <c r="J302" s="389">
        <f t="shared" si="87"/>
        <v>0</v>
      </c>
      <c r="K302" s="434">
        <f t="shared" si="88"/>
        <v>346</v>
      </c>
      <c r="L302" s="486">
        <f t="shared" si="89"/>
        <v>2076</v>
      </c>
      <c r="N302" s="428"/>
      <c r="O302" s="316"/>
      <c r="P302" s="429"/>
      <c r="Q302" s="430"/>
      <c r="R302" s="539">
        <v>247</v>
      </c>
      <c r="S302" s="430">
        <f t="shared" si="84"/>
        <v>346</v>
      </c>
      <c r="T302" s="415"/>
      <c r="U302" s="431"/>
    </row>
    <row r="303" spans="1:21">
      <c r="A303" s="383"/>
      <c r="B303" s="384"/>
      <c r="C303" s="385"/>
      <c r="D303" s="432" t="s">
        <v>539</v>
      </c>
      <c r="E303" s="387">
        <v>23</v>
      </c>
      <c r="F303" s="388" t="s">
        <v>87</v>
      </c>
      <c r="G303" s="390">
        <f t="shared" si="85"/>
        <v>225</v>
      </c>
      <c r="H303" s="390">
        <f t="shared" si="86"/>
        <v>5175</v>
      </c>
      <c r="I303" s="390">
        <v>0</v>
      </c>
      <c r="J303" s="389">
        <f t="shared" si="87"/>
        <v>0</v>
      </c>
      <c r="K303" s="434">
        <f t="shared" si="88"/>
        <v>225</v>
      </c>
      <c r="L303" s="486">
        <f t="shared" si="89"/>
        <v>5175</v>
      </c>
      <c r="N303" s="428"/>
      <c r="O303" s="316"/>
      <c r="P303" s="429"/>
      <c r="Q303" s="430"/>
      <c r="R303" s="539">
        <v>161</v>
      </c>
      <c r="S303" s="430">
        <f t="shared" si="84"/>
        <v>225</v>
      </c>
      <c r="T303" s="415"/>
      <c r="U303" s="431"/>
    </row>
    <row r="304" spans="1:21">
      <c r="A304" s="383"/>
      <c r="B304" s="384"/>
      <c r="C304" s="385"/>
      <c r="D304" s="432" t="s">
        <v>540</v>
      </c>
      <c r="E304" s="387">
        <v>5</v>
      </c>
      <c r="F304" s="388" t="s">
        <v>87</v>
      </c>
      <c r="G304" s="390">
        <f t="shared" si="85"/>
        <v>242</v>
      </c>
      <c r="H304" s="390">
        <f t="shared" si="86"/>
        <v>1210</v>
      </c>
      <c r="I304" s="390">
        <v>0</v>
      </c>
      <c r="J304" s="389">
        <f t="shared" si="87"/>
        <v>0</v>
      </c>
      <c r="K304" s="434">
        <f t="shared" si="88"/>
        <v>242</v>
      </c>
      <c r="L304" s="486">
        <f t="shared" si="89"/>
        <v>1210</v>
      </c>
      <c r="N304" s="428"/>
      <c r="O304" s="316"/>
      <c r="P304" s="429"/>
      <c r="Q304" s="430"/>
      <c r="R304" s="539">
        <v>173</v>
      </c>
      <c r="S304" s="430">
        <f t="shared" si="84"/>
        <v>242</v>
      </c>
      <c r="T304" s="415"/>
      <c r="U304" s="431"/>
    </row>
    <row r="305" spans="1:21">
      <c r="A305" s="383"/>
      <c r="B305" s="384"/>
      <c r="C305" s="385"/>
      <c r="D305" s="432" t="s">
        <v>541</v>
      </c>
      <c r="E305" s="387">
        <v>1</v>
      </c>
      <c r="F305" s="388" t="s">
        <v>87</v>
      </c>
      <c r="G305" s="390">
        <f t="shared" si="85"/>
        <v>1387</v>
      </c>
      <c r="H305" s="390">
        <f t="shared" si="86"/>
        <v>1387</v>
      </c>
      <c r="I305" s="390">
        <v>0</v>
      </c>
      <c r="J305" s="389">
        <f t="shared" si="87"/>
        <v>0</v>
      </c>
      <c r="K305" s="434">
        <f t="shared" si="88"/>
        <v>1387</v>
      </c>
      <c r="L305" s="486">
        <f t="shared" si="89"/>
        <v>1387</v>
      </c>
      <c r="N305" s="428"/>
      <c r="O305" s="316"/>
      <c r="P305" s="429"/>
      <c r="Q305" s="430"/>
      <c r="R305" s="539">
        <v>991</v>
      </c>
      <c r="S305" s="430">
        <f t="shared" si="84"/>
        <v>1387</v>
      </c>
      <c r="T305" s="415"/>
      <c r="U305" s="431"/>
    </row>
    <row r="306" spans="1:21">
      <c r="A306" s="383"/>
      <c r="B306" s="384"/>
      <c r="C306" s="385" t="s">
        <v>542</v>
      </c>
      <c r="D306" s="432" t="s">
        <v>543</v>
      </c>
      <c r="E306" s="387"/>
      <c r="F306" s="388"/>
      <c r="G306" s="390"/>
      <c r="H306" s="390"/>
      <c r="I306" s="390"/>
      <c r="J306" s="389"/>
      <c r="K306" s="434"/>
      <c r="L306" s="496"/>
      <c r="N306" s="428"/>
      <c r="O306" s="316"/>
      <c r="P306" s="429"/>
      <c r="Q306" s="430"/>
      <c r="R306" s="539"/>
      <c r="S306" s="430">
        <f t="shared" si="84"/>
        <v>0</v>
      </c>
      <c r="T306" s="415"/>
      <c r="U306" s="431"/>
    </row>
    <row r="307" spans="1:21">
      <c r="A307" s="383"/>
      <c r="B307" s="384"/>
      <c r="C307" s="385"/>
      <c r="D307" s="432" t="s">
        <v>544</v>
      </c>
      <c r="E307" s="387">
        <v>84</v>
      </c>
      <c r="F307" s="388" t="s">
        <v>87</v>
      </c>
      <c r="G307" s="390">
        <f t="shared" ref="G307:G308" si="90">S307</f>
        <v>41</v>
      </c>
      <c r="H307" s="390">
        <f t="shared" ref="H307:H308" si="91">E307*G307</f>
        <v>3444</v>
      </c>
      <c r="I307" s="390">
        <v>10</v>
      </c>
      <c r="J307" s="389">
        <f t="shared" ref="J307:J308" si="92">E307*I307</f>
        <v>840</v>
      </c>
      <c r="K307" s="434">
        <f t="shared" ref="K307:K308" si="93">I307+G307</f>
        <v>51</v>
      </c>
      <c r="L307" s="486">
        <f t="shared" ref="L307:L308" si="94">H307+J307</f>
        <v>4284</v>
      </c>
      <c r="N307" s="428"/>
      <c r="O307" s="316"/>
      <c r="P307" s="429"/>
      <c r="Q307" s="430"/>
      <c r="R307" s="539">
        <v>29</v>
      </c>
      <c r="S307" s="430">
        <f t="shared" si="84"/>
        <v>41</v>
      </c>
      <c r="T307" s="415"/>
      <c r="U307" s="431"/>
    </row>
    <row r="308" spans="1:21">
      <c r="A308" s="383"/>
      <c r="B308" s="384"/>
      <c r="C308" s="385"/>
      <c r="D308" s="432" t="s">
        <v>545</v>
      </c>
      <c r="E308" s="387">
        <v>80</v>
      </c>
      <c r="F308" s="388" t="s">
        <v>240</v>
      </c>
      <c r="G308" s="390">
        <f t="shared" si="90"/>
        <v>46</v>
      </c>
      <c r="H308" s="390">
        <f t="shared" si="91"/>
        <v>3680</v>
      </c>
      <c r="I308" s="390">
        <v>10</v>
      </c>
      <c r="J308" s="389">
        <f t="shared" si="92"/>
        <v>800</v>
      </c>
      <c r="K308" s="434">
        <f t="shared" si="93"/>
        <v>56</v>
      </c>
      <c r="L308" s="486">
        <f t="shared" si="94"/>
        <v>4480</v>
      </c>
      <c r="N308" s="428"/>
      <c r="O308" s="316"/>
      <c r="P308" s="429"/>
      <c r="Q308" s="430"/>
      <c r="R308" s="539">
        <v>33</v>
      </c>
      <c r="S308" s="430">
        <f t="shared" si="84"/>
        <v>46</v>
      </c>
      <c r="T308" s="415"/>
      <c r="U308" s="431"/>
    </row>
    <row r="309" spans="1:21">
      <c r="A309" s="383"/>
      <c r="B309" s="384"/>
      <c r="C309" s="385" t="s">
        <v>546</v>
      </c>
      <c r="D309" s="432" t="s">
        <v>547</v>
      </c>
      <c r="E309" s="387"/>
      <c r="F309" s="388"/>
      <c r="G309" s="390"/>
      <c r="H309" s="390"/>
      <c r="I309" s="390"/>
      <c r="J309" s="389"/>
      <c r="K309" s="434"/>
      <c r="L309" s="496"/>
      <c r="N309" s="428"/>
      <c r="O309" s="316"/>
      <c r="P309" s="429"/>
      <c r="Q309" s="430"/>
      <c r="R309" s="539"/>
      <c r="S309" s="430">
        <f t="shared" si="84"/>
        <v>0</v>
      </c>
      <c r="T309" s="415"/>
      <c r="U309" s="431"/>
    </row>
    <row r="310" spans="1:21">
      <c r="A310" s="383"/>
      <c r="B310" s="384"/>
      <c r="C310" s="385"/>
      <c r="D310" s="432" t="s">
        <v>548</v>
      </c>
      <c r="E310" s="387">
        <v>1</v>
      </c>
      <c r="F310" s="388" t="s">
        <v>240</v>
      </c>
      <c r="G310" s="390">
        <f t="shared" ref="G310:G312" si="95">S310</f>
        <v>120</v>
      </c>
      <c r="H310" s="390">
        <f t="shared" ref="H310:H312" si="96">E310*G310</f>
        <v>120</v>
      </c>
      <c r="I310" s="390">
        <v>120</v>
      </c>
      <c r="J310" s="389">
        <f t="shared" ref="J310:J312" si="97">E310*I310</f>
        <v>120</v>
      </c>
      <c r="K310" s="434">
        <f t="shared" ref="K310:K312" si="98">I310+G310</f>
        <v>240</v>
      </c>
      <c r="L310" s="486">
        <f t="shared" ref="L310:L312" si="99">H310+J310</f>
        <v>240</v>
      </c>
      <c r="N310" s="428"/>
      <c r="O310" s="316"/>
      <c r="P310" s="429"/>
      <c r="Q310" s="430"/>
      <c r="R310" s="539">
        <v>86</v>
      </c>
      <c r="S310" s="430">
        <f t="shared" si="84"/>
        <v>120</v>
      </c>
      <c r="T310" s="415"/>
      <c r="U310" s="431"/>
    </row>
    <row r="311" spans="1:21">
      <c r="A311" s="383"/>
      <c r="B311" s="384"/>
      <c r="C311" s="385"/>
      <c r="D311" s="432" t="s">
        <v>549</v>
      </c>
      <c r="E311" s="387">
        <v>26</v>
      </c>
      <c r="F311" s="388" t="s">
        <v>240</v>
      </c>
      <c r="G311" s="390">
        <f t="shared" si="95"/>
        <v>255</v>
      </c>
      <c r="H311" s="390">
        <f t="shared" si="96"/>
        <v>6630</v>
      </c>
      <c r="I311" s="390">
        <v>120</v>
      </c>
      <c r="J311" s="389">
        <f t="shared" si="97"/>
        <v>3120</v>
      </c>
      <c r="K311" s="434">
        <f t="shared" si="98"/>
        <v>375</v>
      </c>
      <c r="L311" s="486">
        <f t="shared" si="99"/>
        <v>9750</v>
      </c>
      <c r="N311" s="428"/>
      <c r="O311" s="316"/>
      <c r="P311" s="429"/>
      <c r="Q311" s="430"/>
      <c r="R311" s="539">
        <v>182</v>
      </c>
      <c r="S311" s="430">
        <f t="shared" si="84"/>
        <v>255</v>
      </c>
      <c r="T311" s="415"/>
      <c r="U311" s="431"/>
    </row>
    <row r="312" spans="1:21">
      <c r="A312" s="383"/>
      <c r="B312" s="384"/>
      <c r="C312" s="385"/>
      <c r="D312" s="432" t="s">
        <v>550</v>
      </c>
      <c r="E312" s="387">
        <v>6</v>
      </c>
      <c r="F312" s="388" t="s">
        <v>240</v>
      </c>
      <c r="G312" s="390">
        <f t="shared" si="95"/>
        <v>570</v>
      </c>
      <c r="H312" s="390">
        <f t="shared" si="96"/>
        <v>3420</v>
      </c>
      <c r="I312" s="390">
        <v>120</v>
      </c>
      <c r="J312" s="389">
        <f t="shared" si="97"/>
        <v>720</v>
      </c>
      <c r="K312" s="434">
        <f t="shared" si="98"/>
        <v>690</v>
      </c>
      <c r="L312" s="486">
        <f t="shared" si="99"/>
        <v>4140</v>
      </c>
      <c r="N312" s="428"/>
      <c r="O312" s="316"/>
      <c r="P312" s="429"/>
      <c r="Q312" s="430"/>
      <c r="R312" s="539">
        <v>407</v>
      </c>
      <c r="S312" s="430">
        <f t="shared" si="84"/>
        <v>570</v>
      </c>
      <c r="T312" s="415"/>
      <c r="U312" s="431"/>
    </row>
    <row r="313" spans="1:21">
      <c r="A313" s="383"/>
      <c r="B313" s="384"/>
      <c r="C313" s="385" t="s">
        <v>551</v>
      </c>
      <c r="D313" s="432" t="s">
        <v>552</v>
      </c>
      <c r="E313" s="387"/>
      <c r="F313" s="388"/>
      <c r="G313" s="390"/>
      <c r="H313" s="390"/>
      <c r="I313" s="390"/>
      <c r="J313" s="389"/>
      <c r="K313" s="434"/>
      <c r="L313" s="496"/>
      <c r="N313" s="428"/>
      <c r="O313" s="316"/>
      <c r="P313" s="429"/>
      <c r="Q313" s="430"/>
      <c r="R313" s="539"/>
      <c r="S313" s="430">
        <f t="shared" si="84"/>
        <v>0</v>
      </c>
      <c r="T313" s="415"/>
      <c r="U313" s="431"/>
    </row>
    <row r="314" spans="1:21">
      <c r="A314" s="383"/>
      <c r="B314" s="384"/>
      <c r="C314" s="385"/>
      <c r="D314" s="432" t="s">
        <v>553</v>
      </c>
      <c r="E314" s="387">
        <v>20</v>
      </c>
      <c r="F314" s="388" t="s">
        <v>554</v>
      </c>
      <c r="G314" s="390"/>
      <c r="H314" s="390" t="s">
        <v>507</v>
      </c>
      <c r="I314" s="390">
        <v>300</v>
      </c>
      <c r="J314" s="389">
        <f t="shared" ref="J314:J315" si="100">E314*I314</f>
        <v>6000</v>
      </c>
      <c r="K314" s="434">
        <f t="shared" ref="K314:K315" si="101">I314+G314</f>
        <v>300</v>
      </c>
      <c r="L314" s="486">
        <f>K314*E314</f>
        <v>6000</v>
      </c>
      <c r="N314" s="428"/>
      <c r="O314" s="316"/>
      <c r="P314" s="429"/>
      <c r="Q314" s="430"/>
      <c r="R314" s="539" t="s">
        <v>507</v>
      </c>
      <c r="S314" s="430" t="e">
        <f t="shared" si="84"/>
        <v>#VALUE!</v>
      </c>
      <c r="T314" s="415"/>
      <c r="U314" s="431"/>
    </row>
    <row r="315" spans="1:21">
      <c r="A315" s="383"/>
      <c r="B315" s="384"/>
      <c r="C315" s="385" t="s">
        <v>555</v>
      </c>
      <c r="D315" s="432" t="s">
        <v>556</v>
      </c>
      <c r="E315" s="387">
        <v>1</v>
      </c>
      <c r="F315" s="388" t="s">
        <v>277</v>
      </c>
      <c r="G315" s="390">
        <v>0</v>
      </c>
      <c r="H315" s="390"/>
      <c r="I315" s="390">
        <v>15000</v>
      </c>
      <c r="J315" s="389">
        <f t="shared" si="100"/>
        <v>15000</v>
      </c>
      <c r="K315" s="434">
        <f t="shared" si="101"/>
        <v>15000</v>
      </c>
      <c r="L315" s="486">
        <f t="shared" ref="L315" si="102">H315+J315</f>
        <v>15000</v>
      </c>
      <c r="N315" s="428"/>
      <c r="O315" s="316"/>
      <c r="P315" s="429"/>
      <c r="Q315" s="430"/>
      <c r="R315" s="539">
        <v>0</v>
      </c>
      <c r="S315" s="430">
        <f t="shared" ref="S315:S317" si="103">R315*$S$9</f>
        <v>0</v>
      </c>
      <c r="T315" s="415"/>
      <c r="U315" s="431"/>
    </row>
    <row r="316" spans="1:21">
      <c r="A316" s="383"/>
      <c r="B316" s="384"/>
      <c r="C316" s="385"/>
      <c r="D316" s="432"/>
      <c r="E316" s="387"/>
      <c r="F316" s="433"/>
      <c r="G316" s="390"/>
      <c r="H316" s="390"/>
      <c r="I316" s="390"/>
      <c r="J316" s="389"/>
      <c r="K316" s="434"/>
      <c r="L316" s="496"/>
      <c r="N316" s="428"/>
      <c r="O316" s="316"/>
      <c r="P316" s="429"/>
      <c r="Q316" s="430"/>
      <c r="R316" s="539"/>
      <c r="S316" s="430">
        <f t="shared" si="103"/>
        <v>0</v>
      </c>
      <c r="T316" s="415"/>
      <c r="U316" s="431"/>
    </row>
    <row r="317" spans="1:21">
      <c r="A317" s="500"/>
      <c r="B317" s="501"/>
      <c r="C317" s="502"/>
      <c r="D317" s="503"/>
      <c r="E317" s="504"/>
      <c r="F317" s="505"/>
      <c r="G317" s="507"/>
      <c r="H317" s="506"/>
      <c r="I317" s="507"/>
      <c r="J317" s="506"/>
      <c r="K317" s="508"/>
      <c r="L317" s="509"/>
      <c r="N317" s="510"/>
      <c r="O317" s="316"/>
      <c r="P317" s="429"/>
      <c r="Q317" s="430"/>
      <c r="R317" s="539"/>
      <c r="S317" s="430">
        <f t="shared" si="103"/>
        <v>0</v>
      </c>
      <c r="T317" s="415"/>
      <c r="U317" s="431"/>
    </row>
    <row r="318" spans="1:21" ht="21">
      <c r="A318" s="1625" t="s">
        <v>557</v>
      </c>
      <c r="B318" s="1626"/>
      <c r="C318" s="1626"/>
      <c r="D318" s="1626"/>
      <c r="E318" s="1626"/>
      <c r="F318" s="1626"/>
      <c r="G318" s="1626"/>
      <c r="H318" s="1626"/>
      <c r="I318" s="1626"/>
      <c r="J318" s="1626"/>
      <c r="K318" s="1627"/>
      <c r="L318" s="559">
        <f>SUM(L236,L99,L41,L213,L10)</f>
        <v>12754116</v>
      </c>
      <c r="N318" s="511"/>
      <c r="O318" s="512"/>
      <c r="P318" s="513"/>
      <c r="Q318" s="514"/>
      <c r="R318" s="541"/>
      <c r="S318" s="430"/>
      <c r="T318" s="513"/>
      <c r="U318" s="515"/>
    </row>
    <row r="319" spans="1:21">
      <c r="A319" s="556"/>
      <c r="B319" s="557"/>
      <c r="C319" s="557"/>
      <c r="D319" s="557"/>
      <c r="E319" s="557"/>
      <c r="F319" s="557"/>
      <c r="G319" s="557"/>
      <c r="H319" s="557"/>
      <c r="I319" s="557"/>
      <c r="J319" s="557"/>
      <c r="K319" s="558"/>
      <c r="L319" s="349"/>
      <c r="N319" s="511"/>
      <c r="O319" s="512"/>
      <c r="P319" s="513"/>
      <c r="Q319" s="514"/>
      <c r="R319" s="541"/>
      <c r="S319" s="430"/>
      <c r="T319" s="513"/>
      <c r="U319" s="515"/>
    </row>
    <row r="320" spans="1:21" ht="32.25" customHeight="1" thickBot="1">
      <c r="A320" s="1628" t="s">
        <v>558</v>
      </c>
      <c r="B320" s="1629"/>
      <c r="C320" s="1629"/>
      <c r="D320" s="1629"/>
      <c r="E320" s="1629"/>
      <c r="F320" s="1629"/>
      <c r="G320" s="1629"/>
      <c r="H320" s="1629"/>
      <c r="I320" s="1629"/>
      <c r="J320" s="1629"/>
      <c r="K320" s="1630"/>
      <c r="L320" s="555">
        <f>L318*3</f>
        <v>38262348</v>
      </c>
      <c r="N320" s="511"/>
      <c r="O320" s="512"/>
      <c r="P320" s="513"/>
      <c r="Q320" s="514"/>
      <c r="R320" s="541"/>
      <c r="S320" s="430"/>
      <c r="T320" s="513"/>
      <c r="U320" s="515"/>
    </row>
    <row r="321" spans="10:19">
      <c r="S321" s="532"/>
    </row>
    <row r="322" spans="10:19">
      <c r="S322" s="532"/>
    </row>
    <row r="325" spans="10:19">
      <c r="J325" s="300" t="s">
        <v>502</v>
      </c>
    </row>
  </sheetData>
  <mergeCells count="20">
    <mergeCell ref="U4:U5"/>
    <mergeCell ref="N6:U6"/>
    <mergeCell ref="U7:U8"/>
    <mergeCell ref="K7:K9"/>
    <mergeCell ref="I7:J7"/>
    <mergeCell ref="L7:L8"/>
    <mergeCell ref="N7:N9"/>
    <mergeCell ref="O7:O9"/>
    <mergeCell ref="P7:Q7"/>
    <mergeCell ref="S7:T7"/>
    <mergeCell ref="A318:K318"/>
    <mergeCell ref="A320:K320"/>
    <mergeCell ref="A1:L1"/>
    <mergeCell ref="A2:L2"/>
    <mergeCell ref="A3:L3"/>
    <mergeCell ref="A7:A9"/>
    <mergeCell ref="B7:D9"/>
    <mergeCell ref="E7:E9"/>
    <mergeCell ref="F7:F9"/>
    <mergeCell ref="G7:H7"/>
  </mergeCells>
  <pageMargins left="0.6" right="0.2" top="0.5" bottom="0.5" header="0.3" footer="0.3"/>
  <pageSetup paperSize="8" scale="86" fitToHeight="0" orientation="landscape" r:id="rId1"/>
  <rowBreaks count="1" manualBreakCount="1">
    <brk id="150" max="11" man="1"/>
  </rowBreaks>
  <colBreaks count="1" manualBreakCount="1">
    <brk id="12" max="2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49B5-9FEE-4994-8F61-CAF7911DA09D}">
  <sheetPr>
    <tabColor rgb="FFFFFF00"/>
    <pageSetUpPr fitToPage="1"/>
  </sheetPr>
  <dimension ref="A1:U37"/>
  <sheetViews>
    <sheetView topLeftCell="A2" zoomScale="70" zoomScaleNormal="70" zoomScaleSheetLayoutView="85" workbookViewId="0">
      <selection activeCell="F15" sqref="F15"/>
    </sheetView>
  </sheetViews>
  <sheetFormatPr defaultColWidth="9.140625" defaultRowHeight="21.75"/>
  <cols>
    <col min="1" max="1" width="6.42578125" style="12" customWidth="1"/>
    <col min="2" max="2" width="5.140625" style="778" customWidth="1"/>
    <col min="3" max="3" width="5.85546875" style="597" customWidth="1"/>
    <col min="4" max="4" width="55.85546875" style="12" customWidth="1"/>
    <col min="5" max="5" width="10.7109375" style="12" customWidth="1"/>
    <col min="6" max="6" width="9.140625" style="12" customWidth="1"/>
    <col min="7" max="11" width="17.140625" style="12" customWidth="1"/>
    <col min="12" max="12" width="19" style="225" customWidth="1"/>
    <col min="13" max="13" width="9.7109375" style="12" customWidth="1"/>
    <col min="14" max="14" width="11.28515625" style="21" bestFit="1" customWidth="1"/>
    <col min="15" max="15" width="9.140625" style="12"/>
    <col min="16" max="16" width="12.140625" style="12" customWidth="1"/>
    <col min="17" max="20" width="14.140625" style="12" customWidth="1"/>
    <col min="21" max="16384" width="9.140625" style="12"/>
  </cols>
  <sheetData>
    <row r="1" spans="1:21" s="10" customFormat="1" ht="39" hidden="1" thickBot="1">
      <c r="A1" s="1660" t="s">
        <v>0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1"/>
      <c r="L1" s="1662"/>
      <c r="N1" s="226"/>
    </row>
    <row r="2" spans="1:21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1665"/>
      <c r="N2" s="227"/>
      <c r="O2" s="11"/>
      <c r="P2" s="11"/>
      <c r="Q2" s="11"/>
      <c r="R2" s="11"/>
      <c r="S2" s="11"/>
      <c r="T2" s="11"/>
      <c r="U2" s="11"/>
    </row>
    <row r="3" spans="1:21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8"/>
      <c r="N3" s="227"/>
      <c r="O3" s="11"/>
      <c r="P3" s="11"/>
      <c r="Q3" s="11"/>
      <c r="R3" s="11"/>
      <c r="S3" s="11"/>
      <c r="T3" s="11"/>
      <c r="U3" s="11"/>
    </row>
    <row r="4" spans="1:21" s="10" customFormat="1" ht="26.25" customHeight="1">
      <c r="A4" s="153" t="s">
        <v>1</v>
      </c>
      <c r="B4" s="760"/>
      <c r="C4" s="593"/>
      <c r="D4" s="89" t="s">
        <v>559</v>
      </c>
      <c r="E4" s="91"/>
      <c r="F4" s="92"/>
      <c r="G4" s="92"/>
      <c r="H4" s="91"/>
      <c r="I4" s="154" t="s">
        <v>108</v>
      </c>
      <c r="J4" s="98"/>
      <c r="K4" s="675"/>
      <c r="L4" s="744"/>
      <c r="N4" s="227"/>
      <c r="O4" s="11"/>
      <c r="P4" s="11"/>
      <c r="Q4" s="11"/>
      <c r="R4" s="11"/>
      <c r="S4" s="11"/>
      <c r="T4" s="1669"/>
      <c r="U4" s="11"/>
    </row>
    <row r="5" spans="1:21" s="10" customFormat="1" ht="27" customHeight="1">
      <c r="A5" s="155" t="s">
        <v>109</v>
      </c>
      <c r="B5" s="575"/>
      <c r="C5" s="594"/>
      <c r="D5" s="94" t="s">
        <v>560</v>
      </c>
      <c r="E5" s="96"/>
      <c r="F5" s="97"/>
      <c r="G5" s="97"/>
      <c r="H5" s="96"/>
      <c r="I5" s="154" t="s">
        <v>111</v>
      </c>
      <c r="J5" s="98"/>
      <c r="K5" s="675"/>
      <c r="L5" s="744"/>
      <c r="N5" s="227"/>
      <c r="O5" s="11"/>
      <c r="P5" s="11"/>
      <c r="Q5" s="11"/>
      <c r="R5" s="11"/>
      <c r="S5" s="11"/>
      <c r="T5" s="1669"/>
      <c r="U5" s="11"/>
    </row>
    <row r="6" spans="1:21" s="10" customFormat="1" ht="27" thickBot="1">
      <c r="A6" s="156" t="s">
        <v>3</v>
      </c>
      <c r="B6" s="761"/>
      <c r="C6" s="595"/>
      <c r="D6" s="101" t="s">
        <v>561</v>
      </c>
      <c r="E6" s="103"/>
      <c r="F6" s="104"/>
      <c r="G6" s="104"/>
      <c r="H6" s="103"/>
      <c r="I6" s="157" t="s">
        <v>113</v>
      </c>
      <c r="J6" s="158"/>
      <c r="K6" s="676"/>
      <c r="L6" s="745"/>
      <c r="N6" s="1670"/>
      <c r="O6" s="1670"/>
      <c r="P6" s="1670"/>
      <c r="Q6" s="1670"/>
      <c r="R6" s="1670"/>
      <c r="S6" s="1670"/>
      <c r="T6" s="1670"/>
      <c r="U6" s="11"/>
    </row>
    <row r="7" spans="1:21" s="28" customFormat="1">
      <c r="A7" s="1686" t="s">
        <v>6</v>
      </c>
      <c r="B7" s="1689" t="s">
        <v>7</v>
      </c>
      <c r="C7" s="1690"/>
      <c r="D7" s="1691"/>
      <c r="E7" s="1698" t="s">
        <v>8</v>
      </c>
      <c r="F7" s="1701" t="s">
        <v>9</v>
      </c>
      <c r="G7" s="1678" t="s">
        <v>10</v>
      </c>
      <c r="H7" s="1679"/>
      <c r="I7" s="1678" t="s">
        <v>11</v>
      </c>
      <c r="J7" s="1679"/>
      <c r="K7" s="1680" t="s">
        <v>12</v>
      </c>
      <c r="L7" s="1682" t="s">
        <v>13</v>
      </c>
      <c r="N7" s="1684"/>
      <c r="O7" s="1685"/>
      <c r="P7" s="1671"/>
      <c r="Q7" s="1671"/>
      <c r="R7" s="1671"/>
      <c r="S7" s="1671"/>
      <c r="T7" s="1672"/>
      <c r="U7" s="15"/>
    </row>
    <row r="8" spans="1:21" s="28" customFormat="1">
      <c r="A8" s="1687"/>
      <c r="B8" s="1692"/>
      <c r="C8" s="1693"/>
      <c r="D8" s="1694"/>
      <c r="E8" s="1699"/>
      <c r="F8" s="1702"/>
      <c r="G8" s="105" t="s">
        <v>9</v>
      </c>
      <c r="H8" s="106" t="s">
        <v>13</v>
      </c>
      <c r="I8" s="105" t="s">
        <v>9</v>
      </c>
      <c r="J8" s="106" t="s">
        <v>13</v>
      </c>
      <c r="K8" s="1681"/>
      <c r="L8" s="1683"/>
      <c r="N8" s="1684"/>
      <c r="O8" s="1685"/>
      <c r="P8" s="1"/>
      <c r="Q8" s="3"/>
      <c r="R8" s="3"/>
      <c r="S8" s="3"/>
      <c r="T8" s="1672"/>
      <c r="U8" s="15"/>
    </row>
    <row r="9" spans="1:21" s="28" customFormat="1">
      <c r="A9" s="1688"/>
      <c r="B9" s="1695"/>
      <c r="C9" s="1696"/>
      <c r="D9" s="1697"/>
      <c r="E9" s="1700"/>
      <c r="F9" s="1703"/>
      <c r="G9" s="107" t="s">
        <v>115</v>
      </c>
      <c r="H9" s="108" t="s">
        <v>14</v>
      </c>
      <c r="I9" s="107" t="s">
        <v>115</v>
      </c>
      <c r="J9" s="108" t="s">
        <v>14</v>
      </c>
      <c r="K9" s="677" t="s">
        <v>14</v>
      </c>
      <c r="L9" s="741" t="s">
        <v>14</v>
      </c>
      <c r="N9" s="1684"/>
      <c r="O9" s="1685"/>
      <c r="P9" s="1"/>
      <c r="Q9" s="3"/>
      <c r="R9" s="3"/>
      <c r="S9" s="3"/>
      <c r="T9" s="3"/>
      <c r="U9" s="15"/>
    </row>
    <row r="10" spans="1:21" s="28" customFormat="1">
      <c r="A10" s="634"/>
      <c r="B10" s="762"/>
      <c r="C10" s="635"/>
      <c r="D10" s="636"/>
      <c r="E10" s="637"/>
      <c r="F10" s="638"/>
      <c r="G10" s="639"/>
      <c r="H10" s="640"/>
      <c r="I10" s="639"/>
      <c r="J10" s="640"/>
      <c r="K10" s="678"/>
      <c r="L10" s="746"/>
      <c r="N10" s="572"/>
      <c r="O10" s="573"/>
      <c r="P10" s="1"/>
      <c r="Q10" s="3"/>
      <c r="R10" s="3"/>
      <c r="S10" s="3"/>
      <c r="T10" s="3"/>
      <c r="U10" s="15"/>
    </row>
    <row r="11" spans="1:21" s="28" customFormat="1" ht="26.25">
      <c r="A11" s="628"/>
      <c r="B11" s="763" t="s">
        <v>562</v>
      </c>
      <c r="C11" s="704"/>
      <c r="D11" s="629"/>
      <c r="E11" s="630"/>
      <c r="F11" s="631"/>
      <c r="G11" s="632"/>
      <c r="H11" s="633"/>
      <c r="I11" s="632"/>
      <c r="J11" s="633"/>
      <c r="K11" s="679"/>
      <c r="L11" s="747"/>
      <c r="N11" s="572"/>
      <c r="O11" s="573"/>
      <c r="P11" s="1"/>
      <c r="Q11" s="3"/>
      <c r="R11" s="3"/>
      <c r="S11" s="3"/>
      <c r="T11" s="3"/>
      <c r="U11" s="15"/>
    </row>
    <row r="12" spans="1:21" s="28" customFormat="1" ht="24">
      <c r="A12" s="691">
        <v>1</v>
      </c>
      <c r="B12" s="764" t="s">
        <v>563</v>
      </c>
      <c r="C12" s="692"/>
      <c r="D12" s="693"/>
      <c r="E12" s="694"/>
      <c r="F12" s="695" t="s">
        <v>564</v>
      </c>
      <c r="G12" s="696"/>
      <c r="H12" s="697">
        <f>SUM(H20:H28)</f>
        <v>0</v>
      </c>
      <c r="I12" s="696"/>
      <c r="J12" s="697"/>
      <c r="K12" s="698"/>
      <c r="L12" s="748"/>
      <c r="N12" s="572"/>
      <c r="O12" s="573"/>
      <c r="P12" s="1"/>
      <c r="Q12" s="3"/>
      <c r="R12" s="3"/>
      <c r="S12" s="3"/>
      <c r="T12" s="3"/>
      <c r="U12" s="15"/>
    </row>
    <row r="13" spans="1:21" s="28" customFormat="1" ht="24">
      <c r="A13" s="691">
        <v>2</v>
      </c>
      <c r="B13" s="764" t="s">
        <v>565</v>
      </c>
      <c r="C13" s="692"/>
      <c r="D13" s="693"/>
      <c r="E13" s="694"/>
      <c r="F13" s="695" t="s">
        <v>564</v>
      </c>
      <c r="G13" s="696"/>
      <c r="H13" s="697"/>
      <c r="I13" s="696"/>
      <c r="J13" s="697"/>
      <c r="K13" s="698"/>
      <c r="L13" s="748"/>
      <c r="N13" s="572"/>
      <c r="O13" s="573"/>
      <c r="P13" s="1"/>
      <c r="Q13" s="3"/>
      <c r="R13" s="3"/>
      <c r="S13" s="3"/>
      <c r="T13" s="3"/>
      <c r="U13" s="15"/>
    </row>
    <row r="14" spans="1:21" s="28" customFormat="1" ht="24">
      <c r="A14" s="691"/>
      <c r="B14" s="764"/>
      <c r="C14" s="692"/>
      <c r="D14" s="693"/>
      <c r="E14" s="694"/>
      <c r="F14" s="695"/>
      <c r="G14" s="696"/>
      <c r="H14" s="697"/>
      <c r="I14" s="696"/>
      <c r="J14" s="697"/>
      <c r="K14" s="698"/>
      <c r="L14" s="748"/>
      <c r="N14" s="572"/>
      <c r="O14" s="573"/>
      <c r="P14" s="1"/>
      <c r="Q14" s="3"/>
      <c r="R14" s="3"/>
      <c r="S14" s="3"/>
      <c r="T14" s="3"/>
      <c r="U14" s="15"/>
    </row>
    <row r="15" spans="1:21" s="28" customFormat="1" ht="24">
      <c r="A15" s="699"/>
      <c r="B15" s="765"/>
      <c r="C15" s="700"/>
      <c r="D15" s="701"/>
      <c r="E15" s="694"/>
      <c r="F15" s="695"/>
      <c r="G15" s="702"/>
      <c r="H15" s="703"/>
      <c r="I15" s="702"/>
      <c r="J15" s="703"/>
      <c r="K15" s="698"/>
      <c r="L15" s="748"/>
      <c r="N15" s="572"/>
      <c r="O15" s="573"/>
      <c r="P15" s="1"/>
      <c r="Q15" s="3"/>
      <c r="R15" s="3"/>
      <c r="S15" s="3"/>
      <c r="T15" s="3"/>
      <c r="U15" s="15"/>
    </row>
    <row r="16" spans="1:21" s="28" customFormat="1" ht="22.5" thickBot="1">
      <c r="A16" s="706"/>
      <c r="B16" s="766"/>
      <c r="C16" s="707"/>
      <c r="D16" s="708"/>
      <c r="E16" s="709"/>
      <c r="F16" s="710"/>
      <c r="G16" s="711"/>
      <c r="H16" s="712"/>
      <c r="I16" s="711"/>
      <c r="J16" s="712"/>
      <c r="K16" s="713"/>
      <c r="L16" s="749"/>
      <c r="N16" s="572"/>
      <c r="O16" s="573"/>
      <c r="P16" s="1"/>
      <c r="Q16" s="3"/>
      <c r="R16" s="3"/>
      <c r="S16" s="3"/>
      <c r="T16" s="3"/>
      <c r="U16" s="15"/>
    </row>
    <row r="17" spans="1:21" s="724" customFormat="1" ht="27" thickBot="1">
      <c r="A17" s="715"/>
      <c r="B17" s="767"/>
      <c r="C17" s="716"/>
      <c r="D17" s="714" t="s">
        <v>566</v>
      </c>
      <c r="E17" s="717"/>
      <c r="F17" s="718"/>
      <c r="G17" s="719"/>
      <c r="H17" s="1200">
        <f>SUM(H11:H15)</f>
        <v>0</v>
      </c>
      <c r="I17" s="719"/>
      <c r="J17" s="1200"/>
      <c r="K17" s="1200"/>
      <c r="L17" s="726"/>
      <c r="N17" s="720"/>
      <c r="O17" s="721"/>
      <c r="P17" s="722"/>
      <c r="Q17" s="723"/>
      <c r="R17" s="723"/>
      <c r="S17" s="723"/>
      <c r="T17" s="723"/>
      <c r="U17" s="725"/>
    </row>
    <row r="18" spans="1:21" s="28" customFormat="1" ht="22.5" thickBot="1">
      <c r="A18" s="576"/>
      <c r="B18" s="768"/>
      <c r="C18" s="576"/>
      <c r="D18" s="576"/>
      <c r="E18" s="641"/>
      <c r="F18" s="576"/>
      <c r="G18" s="642"/>
      <c r="H18" s="642"/>
      <c r="I18" s="642"/>
      <c r="J18" s="642"/>
      <c r="K18" s="642"/>
      <c r="L18" s="750"/>
      <c r="N18" s="572"/>
      <c r="O18" s="573"/>
      <c r="P18" s="1"/>
      <c r="Q18" s="3"/>
      <c r="R18" s="3"/>
      <c r="S18" s="3"/>
      <c r="T18" s="3"/>
      <c r="U18" s="15"/>
    </row>
    <row r="19" spans="1:21" s="578" customFormat="1" ht="24">
      <c r="A19" s="652">
        <v>1</v>
      </c>
      <c r="B19" s="653" t="s">
        <v>567</v>
      </c>
      <c r="C19" s="654"/>
      <c r="D19" s="655"/>
      <c r="E19" s="656"/>
      <c r="F19" s="657"/>
      <c r="G19" s="658"/>
      <c r="H19" s="658"/>
      <c r="I19" s="658"/>
      <c r="J19" s="658"/>
      <c r="K19" s="680"/>
      <c r="L19" s="742"/>
      <c r="N19" s="579"/>
      <c r="O19" s="580"/>
      <c r="P19" s="581"/>
      <c r="Q19" s="581"/>
      <c r="R19" s="581"/>
      <c r="S19" s="581"/>
      <c r="T19" s="581"/>
      <c r="U19" s="582"/>
    </row>
    <row r="20" spans="1:21" ht="46.5" customHeight="1">
      <c r="A20" s="727"/>
      <c r="B20" s="775"/>
      <c r="C20" s="1676" t="s">
        <v>568</v>
      </c>
      <c r="D20" s="1677"/>
      <c r="E20" s="729"/>
      <c r="F20" s="599"/>
      <c r="G20" s="673"/>
      <c r="H20" s="673"/>
      <c r="I20" s="673"/>
      <c r="J20" s="673"/>
      <c r="K20" s="687"/>
      <c r="L20" s="755"/>
      <c r="N20" s="14"/>
      <c r="O20" s="15"/>
      <c r="P20" s="20"/>
      <c r="Q20" s="17"/>
      <c r="R20" s="20"/>
      <c r="S20" s="16"/>
      <c r="T20" s="18"/>
      <c r="U20" s="13"/>
    </row>
    <row r="21" spans="1:21" s="583" customFormat="1">
      <c r="A21" s="727"/>
      <c r="B21" s="775"/>
      <c r="C21" s="1278">
        <v>1.1000000000000001</v>
      </c>
      <c r="D21" s="661" t="s">
        <v>25</v>
      </c>
      <c r="E21" s="729"/>
      <c r="F21" s="599" t="s">
        <v>97</v>
      </c>
      <c r="G21" s="673"/>
      <c r="H21" s="673"/>
      <c r="I21" s="673"/>
      <c r="J21" s="673"/>
      <c r="K21" s="687"/>
      <c r="L21" s="755"/>
      <c r="N21" s="584"/>
      <c r="O21" s="585"/>
      <c r="P21" s="20"/>
      <c r="Q21" s="17"/>
      <c r="R21" s="20"/>
      <c r="S21" s="17"/>
      <c r="T21" s="18"/>
      <c r="U21" s="586"/>
    </row>
    <row r="22" spans="1:21" s="590" customFormat="1">
      <c r="A22" s="660"/>
      <c r="B22" s="774"/>
      <c r="C22" s="618"/>
      <c r="D22" s="617"/>
      <c r="E22" s="662"/>
      <c r="F22" s="605"/>
      <c r="G22" s="664"/>
      <c r="H22" s="664"/>
      <c r="I22" s="664"/>
      <c r="J22" s="664"/>
      <c r="K22" s="686"/>
      <c r="L22" s="754"/>
      <c r="N22" s="8"/>
      <c r="O22" s="591"/>
      <c r="P22" s="587"/>
      <c r="Q22" s="588"/>
      <c r="R22" s="587"/>
      <c r="S22" s="588"/>
      <c r="T22" s="589"/>
      <c r="U22" s="592"/>
    </row>
    <row r="23" spans="1:21" s="1280" customFormat="1" ht="23.25">
      <c r="A23" s="1180">
        <v>2</v>
      </c>
      <c r="B23" s="1181" t="s">
        <v>569</v>
      </c>
      <c r="C23" s="1284"/>
      <c r="D23" s="1285"/>
      <c r="E23" s="1286"/>
      <c r="F23" s="1287"/>
      <c r="G23" s="1288"/>
      <c r="H23" s="1288"/>
      <c r="I23" s="1288"/>
      <c r="J23" s="1288"/>
      <c r="K23" s="1289"/>
      <c r="L23" s="1290"/>
      <c r="N23" s="1281"/>
      <c r="O23" s="1282"/>
      <c r="P23" s="1283"/>
      <c r="Q23" s="1281"/>
      <c r="R23" s="1283"/>
      <c r="S23" s="1281"/>
      <c r="T23" s="1279"/>
      <c r="U23" s="1282"/>
    </row>
    <row r="24" spans="1:21" s="590" customFormat="1" ht="43.5" customHeight="1">
      <c r="A24" s="660"/>
      <c r="B24" s="774"/>
      <c r="C24" s="1676" t="s">
        <v>570</v>
      </c>
      <c r="D24" s="1677"/>
      <c r="E24" s="662"/>
      <c r="F24" s="605"/>
      <c r="G24" s="664"/>
      <c r="H24" s="664"/>
      <c r="I24" s="664"/>
      <c r="J24" s="664"/>
      <c r="K24" s="686"/>
      <c r="L24" s="754"/>
      <c r="N24" s="8"/>
      <c r="O24" s="591"/>
      <c r="P24" s="587"/>
      <c r="Q24" s="588"/>
      <c r="R24" s="587"/>
      <c r="S24" s="588"/>
      <c r="T24" s="589"/>
      <c r="U24" s="592"/>
    </row>
    <row r="25" spans="1:21" s="590" customFormat="1">
      <c r="A25" s="660"/>
      <c r="B25" s="774"/>
      <c r="C25" s="618">
        <v>2.1</v>
      </c>
      <c r="D25" s="661" t="s">
        <v>571</v>
      </c>
      <c r="E25" s="662"/>
      <c r="F25" s="599" t="s">
        <v>16</v>
      </c>
      <c r="G25" s="664"/>
      <c r="H25" s="664"/>
      <c r="I25" s="673"/>
      <c r="J25" s="673"/>
      <c r="K25" s="687"/>
      <c r="L25" s="755"/>
      <c r="N25" s="8"/>
      <c r="O25" s="591"/>
      <c r="P25" s="587"/>
      <c r="Q25" s="588"/>
      <c r="R25" s="587"/>
      <c r="S25" s="588"/>
      <c r="T25" s="589"/>
      <c r="U25" s="592"/>
    </row>
    <row r="26" spans="1:21">
      <c r="A26" s="727"/>
      <c r="B26" s="775"/>
      <c r="C26" s="615">
        <v>2.2000000000000002</v>
      </c>
      <c r="D26" s="1017" t="s">
        <v>572</v>
      </c>
      <c r="E26" s="729"/>
      <c r="F26" s="599" t="s">
        <v>16</v>
      </c>
      <c r="G26" s="673"/>
      <c r="H26" s="673"/>
      <c r="I26" s="673"/>
      <c r="J26" s="673"/>
      <c r="K26" s="687"/>
      <c r="L26" s="755"/>
      <c r="N26" s="14"/>
      <c r="O26" s="15"/>
      <c r="P26" s="20"/>
      <c r="Q26" s="17"/>
      <c r="R26" s="20"/>
      <c r="S26" s="16"/>
      <c r="T26" s="18"/>
      <c r="U26" s="13"/>
    </row>
    <row r="27" spans="1:21">
      <c r="A27" s="727"/>
      <c r="B27" s="775"/>
      <c r="C27" s="615">
        <v>2.2999999999999998</v>
      </c>
      <c r="D27" s="1017" t="s">
        <v>573</v>
      </c>
      <c r="E27" s="729"/>
      <c r="F27" s="599" t="s">
        <v>16</v>
      </c>
      <c r="G27" s="673"/>
      <c r="H27" s="673"/>
      <c r="I27" s="673"/>
      <c r="J27" s="673"/>
      <c r="K27" s="687"/>
      <c r="L27" s="755"/>
      <c r="N27" s="14"/>
      <c r="O27" s="15"/>
      <c r="P27" s="20"/>
      <c r="Q27" s="17"/>
      <c r="R27" s="20"/>
      <c r="S27" s="16"/>
      <c r="T27" s="18"/>
      <c r="U27" s="13"/>
    </row>
    <row r="28" spans="1:21">
      <c r="A28" s="727"/>
      <c r="B28" s="775"/>
      <c r="C28" s="615">
        <v>2.4</v>
      </c>
      <c r="D28" s="1017" t="s">
        <v>574</v>
      </c>
      <c r="E28" s="729"/>
      <c r="F28" s="599" t="s">
        <v>16</v>
      </c>
      <c r="G28" s="673"/>
      <c r="H28" s="673"/>
      <c r="I28" s="673"/>
      <c r="J28" s="673"/>
      <c r="K28" s="687"/>
      <c r="L28" s="755"/>
      <c r="N28" s="14"/>
      <c r="O28" s="15"/>
      <c r="P28" s="20"/>
      <c r="Q28" s="17"/>
      <c r="R28" s="20"/>
      <c r="S28" s="16"/>
      <c r="T28" s="18"/>
      <c r="U28" s="13"/>
    </row>
    <row r="29" spans="1:21">
      <c r="A29" s="1188"/>
      <c r="B29" s="1189"/>
      <c r="C29" s="621"/>
      <c r="D29" s="1190"/>
      <c r="E29" s="1191"/>
      <c r="F29" s="609"/>
      <c r="G29" s="1192"/>
      <c r="H29" s="1193"/>
      <c r="I29" s="1192"/>
      <c r="J29" s="1193"/>
      <c r="K29" s="1194"/>
      <c r="L29" s="1195"/>
      <c r="N29" s="14"/>
      <c r="O29" s="15"/>
      <c r="P29" s="20"/>
      <c r="Q29" s="17"/>
      <c r="R29" s="20"/>
      <c r="S29" s="16"/>
      <c r="T29" s="18"/>
      <c r="U29" s="13"/>
    </row>
    <row r="30" spans="1:21" s="1298" customFormat="1" ht="23.25">
      <c r="A30" s="136"/>
      <c r="B30" s="1291"/>
      <c r="C30" s="1292"/>
      <c r="D30" s="1293"/>
      <c r="E30" s="1294"/>
      <c r="F30" s="1306" t="s">
        <v>105</v>
      </c>
      <c r="G30" s="1295"/>
      <c r="H30" s="817">
        <f>SUM(H20:H29)</f>
        <v>0</v>
      </c>
      <c r="I30" s="1296"/>
      <c r="J30" s="817"/>
      <c r="K30" s="1297"/>
      <c r="L30" s="802"/>
      <c r="N30" s="1299"/>
      <c r="O30" s="1300"/>
      <c r="P30" s="1301"/>
      <c r="Q30" s="1302"/>
      <c r="R30" s="1303"/>
      <c r="S30" s="1301"/>
      <c r="T30" s="9"/>
      <c r="U30" s="1304"/>
    </row>
    <row r="31" spans="1:21" s="578" customFormat="1" ht="24">
      <c r="A31" s="804"/>
      <c r="B31" s="805"/>
      <c r="C31" s="806"/>
      <c r="D31" s="821"/>
      <c r="E31" s="816"/>
      <c r="F31" s="803"/>
      <c r="G31" s="807"/>
      <c r="H31" s="820"/>
      <c r="I31" s="808"/>
      <c r="J31" s="820"/>
      <c r="K31" s="809"/>
      <c r="L31" s="822"/>
      <c r="N31" s="810"/>
      <c r="O31" s="811"/>
      <c r="P31" s="812"/>
      <c r="Q31" s="813"/>
      <c r="R31" s="814"/>
      <c r="S31" s="812"/>
      <c r="T31" s="815"/>
      <c r="U31" s="582"/>
    </row>
    <row r="32" spans="1:21" ht="22.5" thickBot="1">
      <c r="A32" s="1673"/>
      <c r="B32" s="1674"/>
      <c r="C32" s="1674"/>
      <c r="D32" s="1674"/>
      <c r="E32" s="1674"/>
      <c r="F32" s="1675"/>
      <c r="G32" s="149"/>
      <c r="H32" s="149"/>
      <c r="I32" s="149"/>
      <c r="J32" s="149"/>
      <c r="K32" s="689"/>
      <c r="L32" s="757"/>
      <c r="N32" s="234"/>
      <c r="O32" s="13"/>
      <c r="P32" s="13"/>
      <c r="Q32" s="18"/>
      <c r="R32" s="18"/>
      <c r="S32" s="18"/>
      <c r="T32" s="18"/>
      <c r="U32" s="13"/>
    </row>
    <row r="33" spans="10:21">
      <c r="N33" s="234"/>
      <c r="O33" s="13"/>
      <c r="P33" s="13"/>
      <c r="Q33" s="13"/>
      <c r="R33" s="13"/>
      <c r="S33" s="13"/>
      <c r="T33" s="13"/>
      <c r="U33" s="13"/>
    </row>
    <row r="34" spans="10:21">
      <c r="N34" s="234"/>
      <c r="O34" s="13"/>
      <c r="P34" s="13"/>
      <c r="Q34" s="13"/>
      <c r="R34" s="13"/>
      <c r="S34" s="13"/>
      <c r="T34" s="13"/>
      <c r="U34" s="13"/>
    </row>
    <row r="37" spans="10:21">
      <c r="J37" s="12" t="s">
        <v>502</v>
      </c>
    </row>
  </sheetData>
  <mergeCells count="21">
    <mergeCell ref="R7:S7"/>
    <mergeCell ref="T7:T8"/>
    <mergeCell ref="A32:F32"/>
    <mergeCell ref="C20:D20"/>
    <mergeCell ref="C24:D24"/>
    <mergeCell ref="I7:J7"/>
    <mergeCell ref="K7:K8"/>
    <mergeCell ref="L7:L8"/>
    <mergeCell ref="N7:N9"/>
    <mergeCell ref="O7:O9"/>
    <mergeCell ref="P7:Q7"/>
    <mergeCell ref="A7:A9"/>
    <mergeCell ref="B7:D9"/>
    <mergeCell ref="E7:E9"/>
    <mergeCell ref="F7:F9"/>
    <mergeCell ref="G7:H7"/>
    <mergeCell ref="A1:L1"/>
    <mergeCell ref="A2:L2"/>
    <mergeCell ref="A3:L3"/>
    <mergeCell ref="T4:T5"/>
    <mergeCell ref="N6:T6"/>
  </mergeCells>
  <printOptions horizontalCentered="1"/>
  <pageMargins left="0.2" right="0.2" top="0.5" bottom="0.5" header="0.3" footer="0.3"/>
  <pageSetup paperSize="9" scale="69" fitToHeight="0" orientation="landscape" r:id="rId1"/>
  <colBreaks count="1" manualBreakCount="1">
    <brk id="12" max="26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A238-1F78-4273-94AC-54B841A8E0CA}">
  <sheetPr>
    <tabColor rgb="FF92D050"/>
    <pageSetUpPr fitToPage="1"/>
  </sheetPr>
  <dimension ref="A1:U285"/>
  <sheetViews>
    <sheetView topLeftCell="A123" zoomScale="85" zoomScaleNormal="85" zoomScaleSheetLayoutView="85" workbookViewId="0">
      <selection activeCell="G136" sqref="G136"/>
    </sheetView>
  </sheetViews>
  <sheetFormatPr defaultColWidth="9.140625" defaultRowHeight="21.75"/>
  <cols>
    <col min="1" max="1" width="6.42578125" style="12" customWidth="1"/>
    <col min="2" max="2" width="5.140625" style="778" customWidth="1"/>
    <col min="3" max="3" width="5.85546875" style="597" customWidth="1"/>
    <col min="4" max="4" width="55.85546875" style="12" customWidth="1"/>
    <col min="5" max="5" width="10.7109375" style="12" customWidth="1"/>
    <col min="6" max="6" width="11.85546875" style="12" customWidth="1"/>
    <col min="7" max="9" width="17.140625" style="12" customWidth="1"/>
    <col min="10" max="10" width="16.85546875" style="12" customWidth="1"/>
    <col min="11" max="11" width="17.140625" style="12" customWidth="1"/>
    <col min="12" max="12" width="19" style="225" customWidth="1"/>
    <col min="13" max="13" width="9.7109375" style="12" customWidth="1"/>
    <col min="14" max="14" width="11.28515625" style="21" bestFit="1" customWidth="1"/>
    <col min="15" max="15" width="9.140625" style="12"/>
    <col min="16" max="16" width="12.140625" style="12" customWidth="1"/>
    <col min="17" max="20" width="14.140625" style="12" customWidth="1"/>
    <col min="21" max="16384" width="9.140625" style="12"/>
  </cols>
  <sheetData>
    <row r="1" spans="1:21" s="10" customFormat="1" ht="39" hidden="1" thickBot="1">
      <c r="A1" s="1660" t="s">
        <v>0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1"/>
      <c r="L1" s="1662"/>
      <c r="N1" s="226"/>
    </row>
    <row r="2" spans="1:21" s="10" customFormat="1" ht="38.25">
      <c r="A2" s="1704" t="s">
        <v>0</v>
      </c>
      <c r="B2" s="1705"/>
      <c r="C2" s="1705"/>
      <c r="D2" s="1705"/>
      <c r="E2" s="1705"/>
      <c r="F2" s="1705"/>
      <c r="G2" s="1705"/>
      <c r="H2" s="1705"/>
      <c r="I2" s="1705"/>
      <c r="J2" s="1705"/>
      <c r="K2" s="1705"/>
      <c r="L2" s="1706"/>
      <c r="N2" s="227"/>
      <c r="O2" s="11"/>
      <c r="P2" s="11"/>
      <c r="Q2" s="11"/>
      <c r="R2" s="11"/>
      <c r="S2" s="11"/>
      <c r="T2" s="11"/>
      <c r="U2" s="11"/>
    </row>
    <row r="3" spans="1:21" s="10" customFormat="1" ht="31.5">
      <c r="A3" s="1707" t="s">
        <v>106</v>
      </c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9"/>
      <c r="N3" s="227"/>
      <c r="O3" s="11"/>
      <c r="P3" s="11"/>
      <c r="Q3" s="11"/>
      <c r="R3" s="11"/>
      <c r="S3" s="11"/>
      <c r="T3" s="11"/>
      <c r="U3" s="11"/>
    </row>
    <row r="4" spans="1:21" s="10" customFormat="1" ht="26.25" customHeight="1">
      <c r="A4" s="1523" t="s">
        <v>1</v>
      </c>
      <c r="B4" s="1524"/>
      <c r="C4" s="1525"/>
      <c r="D4" s="1526" t="s">
        <v>559</v>
      </c>
      <c r="E4" s="1527"/>
      <c r="F4" s="1528"/>
      <c r="G4" s="1528"/>
      <c r="H4" s="1527"/>
      <c r="I4" s="1529" t="s">
        <v>108</v>
      </c>
      <c r="J4" s="1530"/>
      <c r="K4" s="1531"/>
      <c r="L4" s="1532"/>
      <c r="N4" s="227"/>
      <c r="O4" s="11"/>
      <c r="P4" s="11"/>
      <c r="Q4" s="11"/>
      <c r="R4" s="11"/>
      <c r="S4" s="11"/>
      <c r="T4" s="1669"/>
      <c r="U4" s="11"/>
    </row>
    <row r="5" spans="1:21" s="10" customFormat="1" ht="27" customHeight="1">
      <c r="A5" s="1533" t="s">
        <v>109</v>
      </c>
      <c r="B5" s="1534"/>
      <c r="C5" s="1535"/>
      <c r="D5" s="1536" t="s">
        <v>575</v>
      </c>
      <c r="E5" s="1537"/>
      <c r="F5" s="1538"/>
      <c r="G5" s="1538"/>
      <c r="H5" s="1537"/>
      <c r="I5" s="1529" t="s">
        <v>111</v>
      </c>
      <c r="J5" s="1530"/>
      <c r="K5" s="1531"/>
      <c r="L5" s="1532"/>
      <c r="N5" s="227"/>
      <c r="O5" s="11"/>
      <c r="P5" s="11"/>
      <c r="Q5" s="11"/>
      <c r="R5" s="11"/>
      <c r="S5" s="11"/>
      <c r="T5" s="1669"/>
      <c r="U5" s="11"/>
    </row>
    <row r="6" spans="1:21" s="10" customFormat="1" ht="27" thickBot="1">
      <c r="A6" s="1539" t="s">
        <v>3</v>
      </c>
      <c r="B6" s="1540"/>
      <c r="C6" s="1541"/>
      <c r="D6" s="1542" t="s">
        <v>561</v>
      </c>
      <c r="E6" s="1543"/>
      <c r="F6" s="1544"/>
      <c r="G6" s="1544"/>
      <c r="H6" s="1543"/>
      <c r="I6" s="1545" t="s">
        <v>113</v>
      </c>
      <c r="J6" s="1546"/>
      <c r="K6" s="1547"/>
      <c r="L6" s="1548"/>
      <c r="N6" s="1670"/>
      <c r="O6" s="1670"/>
      <c r="P6" s="1670"/>
      <c r="Q6" s="1670"/>
      <c r="R6" s="1670"/>
      <c r="S6" s="1670"/>
      <c r="T6" s="1670"/>
      <c r="U6" s="11"/>
    </row>
    <row r="7" spans="1:21" s="28" customFormat="1">
      <c r="A7" s="1686" t="s">
        <v>6</v>
      </c>
      <c r="B7" s="1689" t="s">
        <v>7</v>
      </c>
      <c r="C7" s="1690"/>
      <c r="D7" s="1691"/>
      <c r="E7" s="1698" t="s">
        <v>576</v>
      </c>
      <c r="F7" s="1701" t="s">
        <v>9</v>
      </c>
      <c r="G7" s="1678" t="s">
        <v>10</v>
      </c>
      <c r="H7" s="1679"/>
      <c r="I7" s="1678" t="s">
        <v>11</v>
      </c>
      <c r="J7" s="1679"/>
      <c r="K7" s="1680" t="s">
        <v>12</v>
      </c>
      <c r="L7" s="1682" t="s">
        <v>13</v>
      </c>
      <c r="N7" s="1684"/>
      <c r="O7" s="1685"/>
      <c r="P7" s="1671"/>
      <c r="Q7" s="1671"/>
      <c r="R7" s="1671"/>
      <c r="S7" s="1671"/>
      <c r="T7" s="1672"/>
      <c r="U7" s="15"/>
    </row>
    <row r="8" spans="1:21" s="28" customFormat="1">
      <c r="A8" s="1687"/>
      <c r="B8" s="1692"/>
      <c r="C8" s="1693"/>
      <c r="D8" s="1694"/>
      <c r="E8" s="1699"/>
      <c r="F8" s="1702"/>
      <c r="G8" s="105" t="s">
        <v>9</v>
      </c>
      <c r="H8" s="106" t="s">
        <v>13</v>
      </c>
      <c r="I8" s="105" t="s">
        <v>9</v>
      </c>
      <c r="J8" s="106" t="s">
        <v>13</v>
      </c>
      <c r="K8" s="1681"/>
      <c r="L8" s="1683"/>
      <c r="N8" s="1684"/>
      <c r="O8" s="1685"/>
      <c r="P8" s="1"/>
      <c r="Q8" s="3"/>
      <c r="R8" s="3"/>
      <c r="S8" s="3"/>
      <c r="T8" s="1672"/>
      <c r="U8" s="15"/>
    </row>
    <row r="9" spans="1:21" s="28" customFormat="1">
      <c r="A9" s="1688"/>
      <c r="B9" s="1695"/>
      <c r="C9" s="1696"/>
      <c r="D9" s="1697"/>
      <c r="E9" s="1700"/>
      <c r="F9" s="1703"/>
      <c r="G9" s="107" t="s">
        <v>115</v>
      </c>
      <c r="H9" s="108" t="s">
        <v>14</v>
      </c>
      <c r="I9" s="107" t="s">
        <v>115</v>
      </c>
      <c r="J9" s="108" t="s">
        <v>14</v>
      </c>
      <c r="K9" s="677" t="s">
        <v>14</v>
      </c>
      <c r="L9" s="741" t="s">
        <v>14</v>
      </c>
      <c r="N9" s="1684"/>
      <c r="O9" s="1685"/>
      <c r="P9" s="1"/>
      <c r="Q9" s="3"/>
      <c r="R9" s="3"/>
      <c r="S9" s="3"/>
      <c r="T9" s="3"/>
      <c r="U9" s="15"/>
    </row>
    <row r="10" spans="1:21" s="28" customFormat="1">
      <c r="A10" s="634"/>
      <c r="B10" s="762"/>
      <c r="C10" s="635"/>
      <c r="D10" s="636"/>
      <c r="E10" s="637"/>
      <c r="F10" s="638"/>
      <c r="G10" s="639"/>
      <c r="H10" s="640"/>
      <c r="I10" s="639"/>
      <c r="J10" s="640"/>
      <c r="K10" s="678"/>
      <c r="L10" s="746"/>
      <c r="N10" s="572"/>
      <c r="O10" s="573"/>
      <c r="P10" s="1"/>
      <c r="Q10" s="3"/>
      <c r="R10" s="3"/>
      <c r="S10" s="3"/>
      <c r="T10" s="3"/>
      <c r="U10" s="15"/>
    </row>
    <row r="11" spans="1:21" s="28" customFormat="1" ht="26.25">
      <c r="A11" s="628"/>
      <c r="B11" s="763" t="s">
        <v>562</v>
      </c>
      <c r="C11" s="704"/>
      <c r="D11" s="629"/>
      <c r="E11" s="630"/>
      <c r="F11" s="631"/>
      <c r="G11" s="632"/>
      <c r="H11" s="633"/>
      <c r="I11" s="632"/>
      <c r="J11" s="633"/>
      <c r="K11" s="679"/>
      <c r="L11" s="747"/>
      <c r="N11" s="572"/>
      <c r="O11" s="573"/>
      <c r="P11" s="1"/>
      <c r="Q11" s="3"/>
      <c r="R11" s="3"/>
      <c r="S11" s="3"/>
      <c r="T11" s="3"/>
      <c r="U11" s="15"/>
    </row>
    <row r="12" spans="1:21" s="28" customFormat="1" ht="24">
      <c r="A12" s="691">
        <v>1</v>
      </c>
      <c r="B12" s="764" t="s">
        <v>577</v>
      </c>
      <c r="C12" s="692"/>
      <c r="D12" s="693"/>
      <c r="E12" s="694"/>
      <c r="F12" s="695" t="s">
        <v>19</v>
      </c>
      <c r="G12" s="696"/>
      <c r="H12" s="697"/>
      <c r="I12" s="696"/>
      <c r="J12" s="697"/>
      <c r="K12" s="698"/>
      <c r="L12" s="748"/>
      <c r="N12" s="572"/>
      <c r="O12" s="573"/>
      <c r="P12" s="1"/>
      <c r="Q12" s="3"/>
      <c r="R12" s="3"/>
      <c r="S12" s="3"/>
      <c r="T12" s="3"/>
      <c r="U12" s="15"/>
    </row>
    <row r="13" spans="1:21" s="28" customFormat="1" ht="24">
      <c r="A13" s="691">
        <v>2</v>
      </c>
      <c r="B13" s="764" t="s">
        <v>578</v>
      </c>
      <c r="C13" s="692"/>
      <c r="D13" s="693"/>
      <c r="E13" s="694"/>
      <c r="F13" s="695" t="s">
        <v>19</v>
      </c>
      <c r="G13" s="696"/>
      <c r="H13" s="697"/>
      <c r="I13" s="696"/>
      <c r="J13" s="697"/>
      <c r="K13" s="698"/>
      <c r="L13" s="748"/>
      <c r="N13" s="572"/>
      <c r="O13" s="573"/>
      <c r="P13" s="1"/>
      <c r="Q13" s="3"/>
      <c r="R13" s="3"/>
      <c r="S13" s="3"/>
      <c r="T13" s="3"/>
      <c r="U13" s="15"/>
    </row>
    <row r="14" spans="1:21" s="28" customFormat="1" ht="24">
      <c r="A14" s="691">
        <v>3</v>
      </c>
      <c r="B14" s="764" t="s">
        <v>579</v>
      </c>
      <c r="C14" s="692"/>
      <c r="D14" s="693"/>
      <c r="E14" s="694"/>
      <c r="F14" s="695" t="s">
        <v>19</v>
      </c>
      <c r="G14" s="696"/>
      <c r="H14" s="697"/>
      <c r="I14" s="696"/>
      <c r="J14" s="697"/>
      <c r="K14" s="698"/>
      <c r="L14" s="748"/>
      <c r="N14" s="572"/>
      <c r="O14" s="573"/>
      <c r="P14" s="1"/>
      <c r="Q14" s="3"/>
      <c r="R14" s="3"/>
      <c r="S14" s="3"/>
      <c r="T14" s="3"/>
      <c r="U14" s="15"/>
    </row>
    <row r="15" spans="1:21" s="28" customFormat="1" ht="24">
      <c r="A15" s="699">
        <v>4</v>
      </c>
      <c r="B15" s="765" t="s">
        <v>580</v>
      </c>
      <c r="C15" s="700"/>
      <c r="D15" s="701"/>
      <c r="E15" s="694"/>
      <c r="F15" s="695" t="s">
        <v>19</v>
      </c>
      <c r="G15" s="702"/>
      <c r="H15" s="703"/>
      <c r="I15" s="702"/>
      <c r="J15" s="703"/>
      <c r="K15" s="698"/>
      <c r="L15" s="748"/>
      <c r="N15" s="572"/>
      <c r="O15" s="573"/>
      <c r="P15" s="1"/>
      <c r="Q15" s="3"/>
      <c r="R15" s="3"/>
      <c r="S15" s="3"/>
      <c r="T15" s="3"/>
      <c r="U15" s="15"/>
    </row>
    <row r="16" spans="1:21" s="28" customFormat="1" ht="22.5" thickBot="1">
      <c r="A16" s="706"/>
      <c r="B16" s="766"/>
      <c r="C16" s="707"/>
      <c r="D16" s="708"/>
      <c r="E16" s="709"/>
      <c r="F16" s="710"/>
      <c r="G16" s="711"/>
      <c r="H16" s="712"/>
      <c r="I16" s="711"/>
      <c r="J16" s="712"/>
      <c r="K16" s="713"/>
      <c r="L16" s="749"/>
      <c r="N16" s="572"/>
      <c r="O16" s="573"/>
      <c r="P16" s="1"/>
      <c r="Q16" s="3"/>
      <c r="R16" s="3"/>
      <c r="S16" s="3"/>
      <c r="T16" s="3"/>
      <c r="U16" s="15"/>
    </row>
    <row r="17" spans="1:21" s="724" customFormat="1" ht="27" thickBot="1">
      <c r="A17" s="715"/>
      <c r="B17" s="767"/>
      <c r="C17" s="716"/>
      <c r="D17" s="714" t="s">
        <v>566</v>
      </c>
      <c r="E17" s="717"/>
      <c r="F17" s="718"/>
      <c r="G17" s="719"/>
      <c r="H17" s="1200"/>
      <c r="I17" s="719"/>
      <c r="J17" s="1200"/>
      <c r="K17" s="1200"/>
      <c r="L17" s="726"/>
      <c r="N17" s="720"/>
      <c r="O17" s="721"/>
      <c r="P17" s="722"/>
      <c r="Q17" s="723"/>
      <c r="R17" s="723"/>
      <c r="S17" s="723"/>
      <c r="T17" s="723"/>
      <c r="U17" s="725"/>
    </row>
    <row r="18" spans="1:21" s="28" customFormat="1" ht="22.5" thickBot="1">
      <c r="A18" s="576"/>
      <c r="B18" s="768"/>
      <c r="C18" s="576"/>
      <c r="D18" s="576"/>
      <c r="E18" s="641"/>
      <c r="F18" s="576"/>
      <c r="G18" s="642"/>
      <c r="H18" s="642"/>
      <c r="I18" s="642"/>
      <c r="J18" s="642"/>
      <c r="K18" s="642"/>
      <c r="L18" s="750"/>
      <c r="N18" s="572"/>
      <c r="O18" s="573"/>
      <c r="P18" s="1"/>
      <c r="Q18" s="3"/>
      <c r="R18" s="3"/>
      <c r="S18" s="3"/>
      <c r="T18" s="3"/>
      <c r="U18" s="15"/>
    </row>
    <row r="19" spans="1:21" s="578" customFormat="1" ht="24">
      <c r="A19" s="652">
        <v>1</v>
      </c>
      <c r="B19" s="653" t="s">
        <v>117</v>
      </c>
      <c r="C19" s="654"/>
      <c r="D19" s="655"/>
      <c r="E19" s="656"/>
      <c r="F19" s="657"/>
      <c r="G19" s="658"/>
      <c r="H19" s="658"/>
      <c r="I19" s="658"/>
      <c r="J19" s="658"/>
      <c r="K19" s="680"/>
      <c r="L19" s="742"/>
      <c r="N19" s="579"/>
      <c r="O19" s="580"/>
      <c r="P19" s="581"/>
      <c r="Q19" s="581"/>
      <c r="R19" s="581"/>
      <c r="S19" s="581"/>
      <c r="T19" s="581"/>
      <c r="U19" s="582"/>
    </row>
    <row r="20" spans="1:21">
      <c r="A20" s="1174"/>
      <c r="B20" s="1196">
        <v>1.1000000000000001</v>
      </c>
      <c r="C20" s="1197" t="s">
        <v>118</v>
      </c>
      <c r="D20" s="1198"/>
      <c r="E20" s="1175"/>
      <c r="F20" s="1176"/>
      <c r="G20" s="1177"/>
      <c r="H20" s="1177"/>
      <c r="I20" s="1177"/>
      <c r="J20" s="1177"/>
      <c r="K20" s="1178"/>
      <c r="L20" s="1179"/>
      <c r="N20" s="14"/>
      <c r="O20" s="15"/>
      <c r="P20" s="16"/>
      <c r="Q20" s="17"/>
      <c r="R20" s="16"/>
      <c r="S20" s="16"/>
      <c r="T20" s="18"/>
      <c r="U20" s="13"/>
    </row>
    <row r="21" spans="1:21">
      <c r="A21" s="727"/>
      <c r="B21" s="775"/>
      <c r="C21" s="615" t="s">
        <v>119</v>
      </c>
      <c r="D21" s="728" t="s">
        <v>120</v>
      </c>
      <c r="E21" s="729"/>
      <c r="F21" s="599" t="s">
        <v>121</v>
      </c>
      <c r="G21" s="673"/>
      <c r="H21" s="673"/>
      <c r="I21" s="673"/>
      <c r="J21" s="673"/>
      <c r="K21" s="687"/>
      <c r="L21" s="755"/>
      <c r="N21" s="14"/>
      <c r="O21" s="15"/>
      <c r="P21" s="20"/>
      <c r="Q21" s="17"/>
      <c r="R21" s="20"/>
      <c r="S21" s="16"/>
      <c r="T21" s="18"/>
      <c r="U21" s="13"/>
    </row>
    <row r="22" spans="1:21" s="583" customFormat="1" ht="43.5">
      <c r="A22" s="727"/>
      <c r="B22" s="775"/>
      <c r="C22" s="615" t="s">
        <v>122</v>
      </c>
      <c r="D22" s="661" t="s">
        <v>581</v>
      </c>
      <c r="E22" s="729"/>
      <c r="F22" s="599" t="s">
        <v>124</v>
      </c>
      <c r="G22" s="673"/>
      <c r="H22" s="673"/>
      <c r="I22" s="673"/>
      <c r="J22" s="673"/>
      <c r="K22" s="687"/>
      <c r="L22" s="755"/>
      <c r="N22" s="584"/>
      <c r="O22" s="585"/>
      <c r="P22" s="20"/>
      <c r="Q22" s="17"/>
      <c r="R22" s="20"/>
      <c r="S22" s="17"/>
      <c r="T22" s="18"/>
      <c r="U22" s="586"/>
    </row>
    <row r="23" spans="1:21" s="590" customFormat="1" ht="43.5">
      <c r="A23" s="660"/>
      <c r="B23" s="774"/>
      <c r="C23" s="618" t="s">
        <v>125</v>
      </c>
      <c r="D23" s="661" t="s">
        <v>582</v>
      </c>
      <c r="E23" s="662"/>
      <c r="F23" s="605" t="s">
        <v>124</v>
      </c>
      <c r="G23" s="664"/>
      <c r="H23" s="664"/>
      <c r="I23" s="664"/>
      <c r="J23" s="664"/>
      <c r="K23" s="686"/>
      <c r="L23" s="754"/>
      <c r="N23" s="8"/>
      <c r="O23" s="591"/>
      <c r="P23" s="587"/>
      <c r="Q23" s="588"/>
      <c r="R23" s="587"/>
      <c r="S23" s="588"/>
      <c r="T23" s="589"/>
      <c r="U23" s="592"/>
    </row>
    <row r="24" spans="1:21" s="590" customFormat="1" ht="43.5">
      <c r="A24" s="660"/>
      <c r="B24" s="774"/>
      <c r="C24" s="618" t="s">
        <v>127</v>
      </c>
      <c r="D24" s="661" t="s">
        <v>583</v>
      </c>
      <c r="E24" s="662"/>
      <c r="F24" s="605" t="s">
        <v>124</v>
      </c>
      <c r="G24" s="664"/>
      <c r="H24" s="664"/>
      <c r="I24" s="664"/>
      <c r="J24" s="664"/>
      <c r="K24" s="686"/>
      <c r="L24" s="754"/>
      <c r="N24" s="8"/>
      <c r="O24" s="591"/>
      <c r="P24" s="587"/>
      <c r="Q24" s="588"/>
      <c r="R24" s="587"/>
      <c r="S24" s="588"/>
      <c r="T24" s="589"/>
      <c r="U24" s="592"/>
    </row>
    <row r="25" spans="1:21" s="590" customFormat="1">
      <c r="A25" s="660"/>
      <c r="B25" s="774"/>
      <c r="C25" s="618" t="s">
        <v>129</v>
      </c>
      <c r="D25" s="661" t="s">
        <v>130</v>
      </c>
      <c r="E25" s="662"/>
      <c r="F25" s="605" t="s">
        <v>124</v>
      </c>
      <c r="G25" s="664"/>
      <c r="H25" s="664"/>
      <c r="I25" s="664"/>
      <c r="J25" s="664"/>
      <c r="K25" s="686"/>
      <c r="L25" s="754"/>
      <c r="N25" s="8"/>
      <c r="O25" s="591"/>
      <c r="P25" s="587"/>
      <c r="Q25" s="588"/>
      <c r="R25" s="587"/>
      <c r="S25" s="588"/>
      <c r="T25" s="589"/>
      <c r="U25" s="592"/>
    </row>
    <row r="26" spans="1:21" s="590" customFormat="1">
      <c r="A26" s="660"/>
      <c r="B26" s="774"/>
      <c r="C26" s="618" t="s">
        <v>131</v>
      </c>
      <c r="D26" s="617" t="s">
        <v>584</v>
      </c>
      <c r="E26" s="662"/>
      <c r="F26" s="605" t="s">
        <v>124</v>
      </c>
      <c r="G26" s="664"/>
      <c r="H26" s="664"/>
      <c r="I26" s="664"/>
      <c r="J26" s="664"/>
      <c r="K26" s="686"/>
      <c r="L26" s="754"/>
      <c r="N26" s="8"/>
      <c r="O26" s="591"/>
      <c r="P26" s="587"/>
      <c r="Q26" s="588"/>
      <c r="R26" s="587"/>
      <c r="S26" s="588"/>
      <c r="T26" s="589"/>
      <c r="U26" s="592"/>
    </row>
    <row r="27" spans="1:21" s="590" customFormat="1">
      <c r="A27" s="660"/>
      <c r="B27" s="774"/>
      <c r="C27" s="618" t="s">
        <v>133</v>
      </c>
      <c r="D27" s="661" t="s">
        <v>134</v>
      </c>
      <c r="E27" s="662"/>
      <c r="F27" s="605" t="s">
        <v>121</v>
      </c>
      <c r="G27" s="664"/>
      <c r="H27" s="664"/>
      <c r="I27" s="664"/>
      <c r="J27" s="664"/>
      <c r="K27" s="686"/>
      <c r="L27" s="754"/>
      <c r="N27" s="8"/>
      <c r="O27" s="591"/>
      <c r="P27" s="587"/>
      <c r="Q27" s="588"/>
      <c r="R27" s="587"/>
      <c r="S27" s="588"/>
      <c r="T27" s="589"/>
      <c r="U27" s="592"/>
    </row>
    <row r="28" spans="1:21" s="590" customFormat="1">
      <c r="A28" s="660"/>
      <c r="B28" s="774"/>
      <c r="C28" s="618" t="s">
        <v>135</v>
      </c>
      <c r="D28" s="661" t="s">
        <v>585</v>
      </c>
      <c r="E28" s="662"/>
      <c r="F28" s="605"/>
      <c r="G28" s="664"/>
      <c r="H28" s="664"/>
      <c r="I28" s="664"/>
      <c r="J28" s="664"/>
      <c r="K28" s="686"/>
      <c r="L28" s="754"/>
      <c r="N28" s="8"/>
      <c r="O28" s="591"/>
      <c r="P28" s="587"/>
      <c r="Q28" s="588"/>
      <c r="R28" s="587"/>
      <c r="S28" s="588"/>
      <c r="T28" s="589"/>
      <c r="U28" s="592"/>
    </row>
    <row r="29" spans="1:21" s="590" customFormat="1" ht="65.25">
      <c r="A29" s="660"/>
      <c r="B29" s="774"/>
      <c r="C29" s="618"/>
      <c r="D29" s="661" t="s">
        <v>586</v>
      </c>
      <c r="E29" s="662"/>
      <c r="F29" s="605"/>
      <c r="G29" s="664"/>
      <c r="H29" s="664"/>
      <c r="I29" s="664"/>
      <c r="J29" s="664"/>
      <c r="K29" s="686"/>
      <c r="L29" s="754"/>
      <c r="N29" s="8"/>
      <c r="O29" s="591"/>
      <c r="P29" s="587"/>
      <c r="Q29" s="588"/>
      <c r="R29" s="587"/>
      <c r="S29" s="588"/>
      <c r="T29" s="589"/>
      <c r="U29" s="592"/>
    </row>
    <row r="30" spans="1:21">
      <c r="A30" s="727"/>
      <c r="B30" s="775"/>
      <c r="C30" s="615"/>
      <c r="D30" s="1017" t="s">
        <v>137</v>
      </c>
      <c r="E30" s="729"/>
      <c r="F30" s="599" t="s">
        <v>138</v>
      </c>
      <c r="G30" s="673"/>
      <c r="H30" s="673"/>
      <c r="I30" s="673"/>
      <c r="J30" s="673"/>
      <c r="K30" s="687"/>
      <c r="L30" s="755"/>
      <c r="N30" s="14"/>
      <c r="O30" s="15"/>
      <c r="P30" s="20"/>
      <c r="Q30" s="17"/>
      <c r="R30" s="20"/>
      <c r="S30" s="16"/>
      <c r="T30" s="18"/>
      <c r="U30" s="13"/>
    </row>
    <row r="31" spans="1:21">
      <c r="A31" s="727"/>
      <c r="B31" s="775"/>
      <c r="C31" s="615"/>
      <c r="D31" s="1017" t="s">
        <v>139</v>
      </c>
      <c r="E31" s="729"/>
      <c r="F31" s="599" t="s">
        <v>138</v>
      </c>
      <c r="G31" s="673"/>
      <c r="H31" s="673"/>
      <c r="I31" s="673"/>
      <c r="J31" s="673"/>
      <c r="K31" s="687"/>
      <c r="L31" s="755"/>
      <c r="N31" s="14"/>
      <c r="O31" s="15"/>
      <c r="P31" s="20"/>
      <c r="Q31" s="17"/>
      <c r="R31" s="20"/>
      <c r="S31" s="16"/>
      <c r="T31" s="18"/>
      <c r="U31" s="13"/>
    </row>
    <row r="32" spans="1:21">
      <c r="A32" s="727"/>
      <c r="B32" s="775"/>
      <c r="C32" s="615"/>
      <c r="D32" s="1017" t="s">
        <v>140</v>
      </c>
      <c r="E32" s="729"/>
      <c r="F32" s="599" t="s">
        <v>138</v>
      </c>
      <c r="G32" s="673"/>
      <c r="H32" s="673"/>
      <c r="I32" s="673"/>
      <c r="J32" s="673"/>
      <c r="K32" s="687"/>
      <c r="L32" s="755"/>
      <c r="N32" s="14"/>
      <c r="O32" s="15"/>
      <c r="P32" s="20"/>
      <c r="Q32" s="17"/>
      <c r="R32" s="20"/>
      <c r="S32" s="16"/>
      <c r="T32" s="18"/>
      <c r="U32" s="13"/>
    </row>
    <row r="33" spans="1:21">
      <c r="A33" s="727"/>
      <c r="B33" s="775"/>
      <c r="C33" s="615"/>
      <c r="D33" s="1017" t="s">
        <v>141</v>
      </c>
      <c r="E33" s="729"/>
      <c r="F33" s="599" t="s">
        <v>138</v>
      </c>
      <c r="G33" s="673"/>
      <c r="H33" s="673"/>
      <c r="I33" s="673"/>
      <c r="J33" s="673"/>
      <c r="K33" s="687"/>
      <c r="L33" s="755"/>
      <c r="N33" s="14"/>
      <c r="O33" s="15"/>
      <c r="P33" s="20"/>
      <c r="Q33" s="17"/>
      <c r="R33" s="20"/>
      <c r="S33" s="16"/>
      <c r="T33" s="18"/>
      <c r="U33" s="13"/>
    </row>
    <row r="34" spans="1:21">
      <c r="A34" s="727"/>
      <c r="B34" s="775"/>
      <c r="C34" s="615" t="s">
        <v>142</v>
      </c>
      <c r="D34" s="728" t="s">
        <v>143</v>
      </c>
      <c r="E34" s="729"/>
      <c r="F34" s="599" t="s">
        <v>138</v>
      </c>
      <c r="G34" s="673"/>
      <c r="H34" s="673"/>
      <c r="I34" s="673"/>
      <c r="J34" s="673"/>
      <c r="K34" s="687"/>
      <c r="L34" s="755"/>
      <c r="N34" s="14"/>
      <c r="O34" s="15"/>
      <c r="P34" s="20"/>
      <c r="Q34" s="17"/>
      <c r="R34" s="20"/>
      <c r="S34" s="16"/>
      <c r="T34" s="18"/>
      <c r="U34" s="13"/>
    </row>
    <row r="35" spans="1:21">
      <c r="A35" s="727"/>
      <c r="B35" s="775"/>
      <c r="C35" s="615" t="s">
        <v>144</v>
      </c>
      <c r="D35" s="728" t="s">
        <v>145</v>
      </c>
      <c r="E35" s="729"/>
      <c r="F35" s="599" t="s">
        <v>138</v>
      </c>
      <c r="G35" s="673"/>
      <c r="H35" s="673"/>
      <c r="I35" s="673"/>
      <c r="J35" s="673"/>
      <c r="K35" s="687"/>
      <c r="L35" s="755"/>
      <c r="N35" s="14"/>
      <c r="O35" s="15"/>
      <c r="P35" s="20"/>
      <c r="Q35" s="17"/>
      <c r="R35" s="20"/>
      <c r="S35" s="16"/>
      <c r="T35" s="18"/>
      <c r="U35" s="13"/>
    </row>
    <row r="36" spans="1:21">
      <c r="A36" s="727"/>
      <c r="B36" s="775"/>
      <c r="C36" s="615" t="s">
        <v>146</v>
      </c>
      <c r="D36" s="728" t="s">
        <v>147</v>
      </c>
      <c r="E36" s="729"/>
      <c r="F36" s="599" t="s">
        <v>121</v>
      </c>
      <c r="G36" s="673"/>
      <c r="H36" s="673"/>
      <c r="I36" s="673"/>
      <c r="J36" s="673"/>
      <c r="K36" s="687"/>
      <c r="L36" s="755"/>
      <c r="N36" s="14"/>
      <c r="O36" s="15"/>
      <c r="P36" s="20"/>
      <c r="Q36" s="17"/>
      <c r="R36" s="20"/>
      <c r="S36" s="16"/>
      <c r="T36" s="18"/>
      <c r="U36" s="13"/>
    </row>
    <row r="37" spans="1:21">
      <c r="A37" s="727"/>
      <c r="B37" s="775"/>
      <c r="C37" s="615" t="s">
        <v>148</v>
      </c>
      <c r="D37" s="728" t="s">
        <v>149</v>
      </c>
      <c r="E37" s="729"/>
      <c r="F37" s="599" t="s">
        <v>121</v>
      </c>
      <c r="G37" s="673"/>
      <c r="H37" s="673"/>
      <c r="I37" s="673"/>
      <c r="J37" s="673"/>
      <c r="K37" s="687"/>
      <c r="L37" s="755"/>
      <c r="N37" s="14"/>
      <c r="O37" s="15"/>
      <c r="P37" s="20"/>
      <c r="Q37" s="17"/>
      <c r="R37" s="20"/>
      <c r="S37" s="16"/>
      <c r="T37" s="18"/>
      <c r="U37" s="13"/>
    </row>
    <row r="38" spans="1:21">
      <c r="A38" s="727"/>
      <c r="B38" s="775"/>
      <c r="C38" s="615" t="s">
        <v>587</v>
      </c>
      <c r="D38" s="728" t="s">
        <v>588</v>
      </c>
      <c r="E38" s="729"/>
      <c r="F38" s="599" t="s">
        <v>104</v>
      </c>
      <c r="G38" s="673"/>
      <c r="H38" s="673"/>
      <c r="I38" s="673"/>
      <c r="J38" s="673"/>
      <c r="K38" s="687"/>
      <c r="L38" s="755"/>
      <c r="N38" s="14"/>
      <c r="O38" s="15"/>
      <c r="P38" s="20"/>
      <c r="Q38" s="17"/>
      <c r="R38" s="20"/>
      <c r="S38" s="16"/>
      <c r="T38" s="18"/>
      <c r="U38" s="13"/>
    </row>
    <row r="39" spans="1:21">
      <c r="A39" s="727"/>
      <c r="B39" s="739">
        <v>1.2</v>
      </c>
      <c r="C39" s="1199" t="s">
        <v>150</v>
      </c>
      <c r="D39" s="616"/>
      <c r="E39" s="729"/>
      <c r="F39" s="599" t="s">
        <v>121</v>
      </c>
      <c r="G39" s="673"/>
      <c r="H39" s="673"/>
      <c r="I39" s="673"/>
      <c r="J39" s="673"/>
      <c r="K39" s="687"/>
      <c r="L39" s="755"/>
      <c r="N39" s="14"/>
      <c r="O39" s="15"/>
      <c r="P39" s="20"/>
      <c r="Q39" s="17"/>
      <c r="R39" s="20"/>
      <c r="S39" s="16"/>
      <c r="T39" s="18"/>
      <c r="U39" s="13"/>
    </row>
    <row r="40" spans="1:21">
      <c r="A40" s="727"/>
      <c r="B40" s="739">
        <v>1.3</v>
      </c>
      <c r="C40" s="1199" t="s">
        <v>151</v>
      </c>
      <c r="D40" s="616"/>
      <c r="E40" s="729"/>
      <c r="F40" s="599"/>
      <c r="G40" s="673"/>
      <c r="H40" s="673"/>
      <c r="I40" s="673"/>
      <c r="J40" s="673"/>
      <c r="K40" s="687"/>
      <c r="L40" s="755"/>
      <c r="N40" s="14"/>
      <c r="O40" s="15"/>
      <c r="P40" s="20"/>
      <c r="Q40" s="17"/>
      <c r="R40" s="20"/>
      <c r="S40" s="16"/>
      <c r="T40" s="18"/>
      <c r="U40" s="13"/>
    </row>
    <row r="41" spans="1:21" ht="65.25">
      <c r="A41" s="727"/>
      <c r="B41" s="775"/>
      <c r="C41" s="615"/>
      <c r="D41" s="661" t="s">
        <v>589</v>
      </c>
      <c r="E41" s="729"/>
      <c r="F41" s="599"/>
      <c r="G41" s="673"/>
      <c r="H41" s="673"/>
      <c r="I41" s="673"/>
      <c r="J41" s="673"/>
      <c r="K41" s="687"/>
      <c r="L41" s="755"/>
      <c r="N41" s="14"/>
      <c r="O41" s="15"/>
      <c r="P41" s="20"/>
      <c r="Q41" s="17"/>
      <c r="R41" s="20"/>
      <c r="S41" s="16"/>
      <c r="T41" s="18"/>
      <c r="U41" s="13"/>
    </row>
    <row r="42" spans="1:21">
      <c r="A42" s="727"/>
      <c r="B42" s="775"/>
      <c r="C42" s="615" t="s">
        <v>152</v>
      </c>
      <c r="D42" s="728" t="s">
        <v>590</v>
      </c>
      <c r="E42" s="729"/>
      <c r="F42" s="599" t="s">
        <v>138</v>
      </c>
      <c r="G42" s="673"/>
      <c r="H42" s="673"/>
      <c r="I42" s="673"/>
      <c r="J42" s="673"/>
      <c r="K42" s="687"/>
      <c r="L42" s="755"/>
      <c r="N42" s="14"/>
      <c r="O42" s="15"/>
      <c r="P42" s="20"/>
      <c r="Q42" s="17"/>
      <c r="R42" s="20"/>
      <c r="S42" s="16"/>
      <c r="T42" s="18"/>
      <c r="U42" s="13"/>
    </row>
    <row r="43" spans="1:21">
      <c r="A43" s="727"/>
      <c r="B43" s="775"/>
      <c r="C43" s="615" t="s">
        <v>154</v>
      </c>
      <c r="D43" s="728" t="s">
        <v>591</v>
      </c>
      <c r="E43" s="729"/>
      <c r="F43" s="599" t="s">
        <v>138</v>
      </c>
      <c r="G43" s="673"/>
      <c r="H43" s="673"/>
      <c r="I43" s="673"/>
      <c r="J43" s="673"/>
      <c r="K43" s="687"/>
      <c r="L43" s="755"/>
      <c r="N43" s="14"/>
      <c r="O43" s="15"/>
      <c r="P43" s="20"/>
      <c r="Q43" s="17"/>
      <c r="R43" s="20"/>
      <c r="S43" s="16"/>
      <c r="T43" s="18"/>
      <c r="U43" s="13"/>
    </row>
    <row r="44" spans="1:21">
      <c r="A44" s="727"/>
      <c r="B44" s="775"/>
      <c r="C44" s="615" t="s">
        <v>156</v>
      </c>
      <c r="D44" s="728" t="s">
        <v>592</v>
      </c>
      <c r="E44" s="729"/>
      <c r="F44" s="599" t="s">
        <v>138</v>
      </c>
      <c r="G44" s="673"/>
      <c r="H44" s="673"/>
      <c r="I44" s="673"/>
      <c r="J44" s="673"/>
      <c r="K44" s="687"/>
      <c r="L44" s="755"/>
      <c r="N44" s="14"/>
      <c r="O44" s="15"/>
      <c r="P44" s="20"/>
      <c r="Q44" s="17"/>
      <c r="R44" s="20"/>
      <c r="S44" s="16"/>
      <c r="T44" s="18"/>
      <c r="U44" s="13"/>
    </row>
    <row r="45" spans="1:21">
      <c r="A45" s="727"/>
      <c r="B45" s="775"/>
      <c r="C45" s="615" t="s">
        <v>158</v>
      </c>
      <c r="D45" s="728" t="s">
        <v>161</v>
      </c>
      <c r="E45" s="729"/>
      <c r="F45" s="599" t="s">
        <v>138</v>
      </c>
      <c r="G45" s="673"/>
      <c r="H45" s="673"/>
      <c r="I45" s="673"/>
      <c r="J45" s="673"/>
      <c r="K45" s="687"/>
      <c r="L45" s="755"/>
      <c r="N45" s="14"/>
      <c r="O45" s="15"/>
      <c r="P45" s="20"/>
      <c r="Q45" s="17"/>
      <c r="R45" s="20"/>
      <c r="S45" s="16"/>
      <c r="T45" s="18"/>
      <c r="U45" s="13"/>
    </row>
    <row r="46" spans="1:21">
      <c r="A46" s="727"/>
      <c r="B46" s="775"/>
      <c r="C46" s="615" t="s">
        <v>160</v>
      </c>
      <c r="D46" s="728" t="s">
        <v>593</v>
      </c>
      <c r="E46" s="729"/>
      <c r="F46" s="599" t="s">
        <v>121</v>
      </c>
      <c r="G46" s="673"/>
      <c r="H46" s="673"/>
      <c r="I46" s="673"/>
      <c r="J46" s="673"/>
      <c r="K46" s="687"/>
      <c r="L46" s="755"/>
      <c r="N46" s="14"/>
      <c r="O46" s="15"/>
      <c r="P46" s="20"/>
      <c r="Q46" s="17"/>
      <c r="R46" s="20"/>
      <c r="S46" s="16"/>
      <c r="T46" s="18"/>
      <c r="U46" s="13"/>
    </row>
    <row r="47" spans="1:21">
      <c r="A47" s="727"/>
      <c r="B47" s="775"/>
      <c r="C47" s="615" t="s">
        <v>162</v>
      </c>
      <c r="D47" s="728" t="s">
        <v>594</v>
      </c>
      <c r="E47" s="729"/>
      <c r="F47" s="599" t="s">
        <v>121</v>
      </c>
      <c r="G47" s="673"/>
      <c r="H47" s="673"/>
      <c r="I47" s="673"/>
      <c r="J47" s="673"/>
      <c r="K47" s="687"/>
      <c r="L47" s="755"/>
      <c r="N47" s="14"/>
      <c r="O47" s="15"/>
      <c r="P47" s="20"/>
      <c r="Q47" s="17"/>
      <c r="R47" s="20"/>
      <c r="S47" s="16"/>
      <c r="T47" s="18"/>
      <c r="U47" s="13"/>
    </row>
    <row r="48" spans="1:21">
      <c r="A48" s="727"/>
      <c r="B48" s="775"/>
      <c r="C48" s="615" t="s">
        <v>164</v>
      </c>
      <c r="D48" s="728" t="s">
        <v>170</v>
      </c>
      <c r="E48" s="729"/>
      <c r="F48" s="599" t="s">
        <v>171</v>
      </c>
      <c r="G48" s="673"/>
      <c r="H48" s="673"/>
      <c r="I48" s="673"/>
      <c r="J48" s="673"/>
      <c r="K48" s="687"/>
      <c r="L48" s="755"/>
      <c r="N48" s="14"/>
      <c r="O48" s="15"/>
      <c r="P48" s="20"/>
      <c r="Q48" s="17"/>
      <c r="R48" s="20"/>
      <c r="S48" s="16"/>
      <c r="T48" s="18"/>
      <c r="U48" s="13"/>
    </row>
    <row r="49" spans="1:21">
      <c r="A49" s="727"/>
      <c r="B49" s="775"/>
      <c r="C49" s="615"/>
      <c r="D49" s="728"/>
      <c r="E49" s="729"/>
      <c r="F49" s="599"/>
      <c r="G49" s="673"/>
      <c r="H49" s="673"/>
      <c r="I49" s="673"/>
      <c r="J49" s="673"/>
      <c r="K49" s="687"/>
      <c r="L49" s="755"/>
      <c r="N49" s="14"/>
      <c r="O49" s="15"/>
      <c r="P49" s="20"/>
      <c r="Q49" s="17"/>
      <c r="R49" s="20"/>
      <c r="S49" s="16"/>
      <c r="T49" s="18"/>
      <c r="U49" s="13"/>
    </row>
    <row r="50" spans="1:21" ht="23.25">
      <c r="A50" s="1180">
        <v>2</v>
      </c>
      <c r="B50" s="1181" t="s">
        <v>173</v>
      </c>
      <c r="C50" s="646"/>
      <c r="D50" s="1182"/>
      <c r="E50" s="1183"/>
      <c r="F50" s="1184"/>
      <c r="G50" s="1185"/>
      <c r="H50" s="1185"/>
      <c r="I50" s="1185"/>
      <c r="J50" s="1185"/>
      <c r="K50" s="1186"/>
      <c r="L50" s="1187"/>
      <c r="N50" s="14"/>
      <c r="O50" s="15"/>
      <c r="P50" s="20"/>
      <c r="Q50" s="17"/>
      <c r="R50" s="20"/>
      <c r="S50" s="16"/>
      <c r="T50" s="18"/>
      <c r="U50" s="13"/>
    </row>
    <row r="51" spans="1:21" s="665" customFormat="1">
      <c r="A51" s="660"/>
      <c r="B51" s="773">
        <v>2.1</v>
      </c>
      <c r="C51" s="674" t="s">
        <v>174</v>
      </c>
      <c r="D51" s="672"/>
      <c r="E51" s="662"/>
      <c r="F51" s="605"/>
      <c r="G51" s="664"/>
      <c r="H51" s="664"/>
      <c r="I51" s="664"/>
      <c r="J51" s="664"/>
      <c r="K51" s="686"/>
      <c r="L51" s="754"/>
      <c r="N51" s="666"/>
      <c r="O51" s="667"/>
      <c r="P51" s="668"/>
      <c r="Q51" s="669"/>
      <c r="R51" s="668"/>
      <c r="S51" s="669"/>
      <c r="T51" s="670"/>
      <c r="U51" s="671"/>
    </row>
    <row r="52" spans="1:21" s="665" customFormat="1">
      <c r="A52" s="660"/>
      <c r="B52" s="774"/>
      <c r="C52" s="618" t="s">
        <v>175</v>
      </c>
      <c r="D52" s="661" t="s">
        <v>595</v>
      </c>
      <c r="E52" s="662"/>
      <c r="F52" s="605" t="s">
        <v>121</v>
      </c>
      <c r="G52" s="664"/>
      <c r="H52" s="673"/>
      <c r="I52" s="664"/>
      <c r="J52" s="673"/>
      <c r="K52" s="687"/>
      <c r="L52" s="755"/>
      <c r="N52" s="666"/>
      <c r="O52" s="667"/>
      <c r="P52" s="668"/>
      <c r="Q52" s="669"/>
      <c r="R52" s="668"/>
      <c r="S52" s="669"/>
      <c r="T52" s="670"/>
      <c r="U52" s="671"/>
    </row>
    <row r="53" spans="1:21" s="665" customFormat="1" ht="43.5">
      <c r="A53" s="660"/>
      <c r="B53" s="774"/>
      <c r="C53" s="618" t="s">
        <v>177</v>
      </c>
      <c r="D53" s="661" t="s">
        <v>596</v>
      </c>
      <c r="E53" s="662"/>
      <c r="F53" s="605" t="s">
        <v>121</v>
      </c>
      <c r="G53" s="664"/>
      <c r="H53" s="673"/>
      <c r="I53" s="664"/>
      <c r="J53" s="673"/>
      <c r="K53" s="687"/>
      <c r="L53" s="755"/>
      <c r="N53" s="666"/>
      <c r="O53" s="667"/>
      <c r="P53" s="668"/>
      <c r="Q53" s="669"/>
      <c r="R53" s="668"/>
      <c r="S53" s="669"/>
      <c r="T53" s="670"/>
      <c r="U53" s="671"/>
    </row>
    <row r="54" spans="1:21" s="665" customFormat="1">
      <c r="A54" s="660"/>
      <c r="B54" s="774"/>
      <c r="C54" s="618"/>
      <c r="D54" s="661" t="s">
        <v>597</v>
      </c>
      <c r="E54" s="662"/>
      <c r="F54" s="605" t="s">
        <v>223</v>
      </c>
      <c r="G54" s="664"/>
      <c r="H54" s="673"/>
      <c r="I54" s="664"/>
      <c r="J54" s="673"/>
      <c r="K54" s="687"/>
      <c r="L54" s="755"/>
      <c r="N54" s="666"/>
      <c r="O54" s="667"/>
      <c r="P54" s="668"/>
      <c r="Q54" s="669"/>
      <c r="R54" s="668"/>
      <c r="S54" s="669"/>
      <c r="T54" s="670"/>
      <c r="U54" s="671"/>
    </row>
    <row r="55" spans="1:21" s="665" customFormat="1">
      <c r="A55" s="660"/>
      <c r="B55" s="774"/>
      <c r="C55" s="618" t="s">
        <v>179</v>
      </c>
      <c r="D55" s="661" t="s">
        <v>598</v>
      </c>
      <c r="E55" s="662"/>
      <c r="F55" s="605" t="s">
        <v>121</v>
      </c>
      <c r="G55" s="664"/>
      <c r="H55" s="673"/>
      <c r="I55" s="664"/>
      <c r="J55" s="673"/>
      <c r="K55" s="687"/>
      <c r="L55" s="755"/>
      <c r="N55" s="666"/>
      <c r="O55" s="667"/>
      <c r="P55" s="668"/>
      <c r="Q55" s="669"/>
      <c r="R55" s="668"/>
      <c r="S55" s="669"/>
      <c r="T55" s="670"/>
      <c r="U55" s="671"/>
    </row>
    <row r="56" spans="1:21" s="665" customFormat="1">
      <c r="A56" s="660"/>
      <c r="B56" s="774"/>
      <c r="C56" s="618" t="s">
        <v>181</v>
      </c>
      <c r="D56" s="661" t="s">
        <v>599</v>
      </c>
      <c r="E56" s="662"/>
      <c r="F56" s="605" t="s">
        <v>121</v>
      </c>
      <c r="G56" s="664"/>
      <c r="H56" s="673"/>
      <c r="I56" s="664"/>
      <c r="J56" s="673"/>
      <c r="K56" s="687"/>
      <c r="L56" s="755"/>
      <c r="N56" s="666"/>
      <c r="O56" s="667"/>
      <c r="P56" s="668"/>
      <c r="Q56" s="669"/>
      <c r="R56" s="668"/>
      <c r="S56" s="669"/>
      <c r="T56" s="670"/>
      <c r="U56" s="671"/>
    </row>
    <row r="57" spans="1:21" s="665" customFormat="1">
      <c r="A57" s="660"/>
      <c r="B57" s="774"/>
      <c r="C57" s="618" t="s">
        <v>183</v>
      </c>
      <c r="D57" s="661" t="s">
        <v>600</v>
      </c>
      <c r="E57" s="662"/>
      <c r="F57" s="605" t="s">
        <v>185</v>
      </c>
      <c r="G57" s="664"/>
      <c r="H57" s="673"/>
      <c r="I57" s="664"/>
      <c r="J57" s="673"/>
      <c r="K57" s="687"/>
      <c r="L57" s="755"/>
      <c r="N57" s="666"/>
      <c r="O57" s="667"/>
      <c r="P57" s="668"/>
      <c r="Q57" s="669"/>
      <c r="R57" s="668"/>
      <c r="S57" s="669"/>
      <c r="T57" s="670"/>
      <c r="U57" s="671"/>
    </row>
    <row r="58" spans="1:21" s="665" customFormat="1">
      <c r="A58" s="660"/>
      <c r="B58" s="773">
        <v>2.2000000000000002</v>
      </c>
      <c r="C58" s="674" t="s">
        <v>186</v>
      </c>
      <c r="D58" s="672"/>
      <c r="E58" s="662"/>
      <c r="F58" s="605"/>
      <c r="G58" s="664"/>
      <c r="H58" s="673"/>
      <c r="I58" s="664"/>
      <c r="J58" s="673"/>
      <c r="K58" s="687"/>
      <c r="L58" s="755"/>
      <c r="N58" s="666"/>
      <c r="O58" s="667"/>
      <c r="P58" s="668"/>
      <c r="Q58" s="669"/>
      <c r="R58" s="668"/>
      <c r="S58" s="669"/>
      <c r="T58" s="670"/>
      <c r="U58" s="671"/>
    </row>
    <row r="59" spans="1:21" s="665" customFormat="1">
      <c r="A59" s="660"/>
      <c r="B59" s="774"/>
      <c r="C59" s="618" t="s">
        <v>187</v>
      </c>
      <c r="D59" s="661" t="s">
        <v>601</v>
      </c>
      <c r="E59" s="662"/>
      <c r="F59" s="605" t="s">
        <v>121</v>
      </c>
      <c r="G59" s="664"/>
      <c r="H59" s="673"/>
      <c r="I59" s="664"/>
      <c r="J59" s="673"/>
      <c r="K59" s="687"/>
      <c r="L59" s="755"/>
      <c r="N59" s="666"/>
      <c r="O59" s="667"/>
      <c r="P59" s="668"/>
      <c r="Q59" s="669"/>
      <c r="R59" s="668"/>
      <c r="S59" s="669"/>
      <c r="T59" s="670"/>
      <c r="U59" s="671"/>
    </row>
    <row r="60" spans="1:21" s="665" customFormat="1">
      <c r="A60" s="660"/>
      <c r="B60" s="774"/>
      <c r="C60" s="615" t="s">
        <v>189</v>
      </c>
      <c r="D60" s="661" t="s">
        <v>602</v>
      </c>
      <c r="E60" s="662"/>
      <c r="F60" s="605" t="s">
        <v>121</v>
      </c>
      <c r="G60" s="664"/>
      <c r="H60" s="673"/>
      <c r="I60" s="664"/>
      <c r="J60" s="673"/>
      <c r="K60" s="687"/>
      <c r="L60" s="755"/>
      <c r="N60" s="666"/>
      <c r="O60" s="667"/>
      <c r="P60" s="668"/>
      <c r="Q60" s="669"/>
      <c r="R60" s="668"/>
      <c r="S60" s="669"/>
      <c r="T60" s="670"/>
      <c r="U60" s="671"/>
    </row>
    <row r="61" spans="1:21" s="665" customFormat="1">
      <c r="A61" s="660"/>
      <c r="B61" s="774"/>
      <c r="C61" s="618" t="s">
        <v>191</v>
      </c>
      <c r="D61" s="661" t="s">
        <v>192</v>
      </c>
      <c r="E61" s="662"/>
      <c r="F61" s="605" t="s">
        <v>121</v>
      </c>
      <c r="G61" s="664"/>
      <c r="H61" s="673"/>
      <c r="I61" s="664"/>
      <c r="J61" s="673"/>
      <c r="K61" s="687"/>
      <c r="L61" s="755"/>
      <c r="N61" s="666"/>
      <c r="O61" s="667"/>
      <c r="P61" s="668"/>
      <c r="Q61" s="669"/>
      <c r="R61" s="668"/>
      <c r="S61" s="669"/>
      <c r="T61" s="670"/>
      <c r="U61" s="671"/>
    </row>
    <row r="62" spans="1:21" s="665" customFormat="1">
      <c r="A62" s="660"/>
      <c r="B62" s="774"/>
      <c r="C62" s="618" t="s">
        <v>193</v>
      </c>
      <c r="D62" s="661" t="s">
        <v>194</v>
      </c>
      <c r="E62" s="662"/>
      <c r="F62" s="605" t="s">
        <v>121</v>
      </c>
      <c r="G62" s="664"/>
      <c r="H62" s="673"/>
      <c r="I62" s="664"/>
      <c r="J62" s="673"/>
      <c r="K62" s="687"/>
      <c r="L62" s="755"/>
      <c r="N62" s="666"/>
      <c r="O62" s="667"/>
      <c r="P62" s="668"/>
      <c r="Q62" s="669"/>
      <c r="R62" s="668"/>
      <c r="S62" s="669"/>
      <c r="T62" s="670"/>
      <c r="U62" s="671"/>
    </row>
    <row r="63" spans="1:21" s="665" customFormat="1">
      <c r="A63" s="660"/>
      <c r="B63" s="773">
        <v>2.2999999999999998</v>
      </c>
      <c r="C63" s="613" t="s">
        <v>195</v>
      </c>
      <c r="D63" s="672"/>
      <c r="E63" s="662"/>
      <c r="F63" s="605"/>
      <c r="G63" s="664"/>
      <c r="H63" s="673"/>
      <c r="I63" s="664"/>
      <c r="J63" s="673"/>
      <c r="K63" s="687"/>
      <c r="L63" s="755"/>
      <c r="N63" s="666"/>
      <c r="O63" s="667"/>
      <c r="P63" s="668"/>
      <c r="Q63" s="669"/>
      <c r="R63" s="668"/>
      <c r="S63" s="669"/>
      <c r="T63" s="670"/>
      <c r="U63" s="671"/>
    </row>
    <row r="64" spans="1:21" s="665" customFormat="1">
      <c r="A64" s="660"/>
      <c r="B64" s="774"/>
      <c r="C64" s="618" t="s">
        <v>196</v>
      </c>
      <c r="D64" s="661" t="s">
        <v>603</v>
      </c>
      <c r="E64" s="662"/>
      <c r="F64" s="605" t="s">
        <v>121</v>
      </c>
      <c r="G64" s="664"/>
      <c r="H64" s="673"/>
      <c r="I64" s="664"/>
      <c r="J64" s="673"/>
      <c r="K64" s="687"/>
      <c r="L64" s="755"/>
      <c r="N64" s="666"/>
      <c r="O64" s="667"/>
      <c r="P64" s="668"/>
      <c r="Q64" s="669"/>
      <c r="R64" s="668"/>
      <c r="S64" s="669"/>
      <c r="T64" s="670"/>
      <c r="U64" s="671"/>
    </row>
    <row r="65" spans="1:21" s="665" customFormat="1" ht="43.5">
      <c r="A65" s="660"/>
      <c r="B65" s="774"/>
      <c r="C65" s="618" t="s">
        <v>198</v>
      </c>
      <c r="D65" s="661" t="s">
        <v>604</v>
      </c>
      <c r="E65" s="662"/>
      <c r="F65" s="605" t="s">
        <v>121</v>
      </c>
      <c r="G65" s="664"/>
      <c r="H65" s="673"/>
      <c r="I65" s="664"/>
      <c r="J65" s="673"/>
      <c r="K65" s="687"/>
      <c r="L65" s="755"/>
      <c r="N65" s="666"/>
      <c r="O65" s="667"/>
      <c r="P65" s="668"/>
      <c r="Q65" s="669"/>
      <c r="R65" s="668"/>
      <c r="S65" s="669"/>
      <c r="T65" s="670"/>
      <c r="U65" s="671"/>
    </row>
    <row r="66" spans="1:21" s="665" customFormat="1" ht="43.5">
      <c r="A66" s="660"/>
      <c r="B66" s="774"/>
      <c r="C66" s="618" t="s">
        <v>200</v>
      </c>
      <c r="D66" s="661" t="s">
        <v>605</v>
      </c>
      <c r="E66" s="662"/>
      <c r="F66" s="605" t="s">
        <v>121</v>
      </c>
      <c r="G66" s="664"/>
      <c r="H66" s="673"/>
      <c r="I66" s="664"/>
      <c r="J66" s="673"/>
      <c r="K66" s="687"/>
      <c r="L66" s="755"/>
      <c r="N66" s="666"/>
      <c r="O66" s="667"/>
      <c r="P66" s="668"/>
      <c r="Q66" s="669"/>
      <c r="R66" s="668"/>
      <c r="S66" s="669"/>
      <c r="T66" s="670"/>
      <c r="U66" s="671"/>
    </row>
    <row r="67" spans="1:21" s="665" customFormat="1" ht="43.5">
      <c r="A67" s="660"/>
      <c r="B67" s="774"/>
      <c r="C67" s="618" t="s">
        <v>202</v>
      </c>
      <c r="D67" s="661" t="s">
        <v>606</v>
      </c>
      <c r="E67" s="662"/>
      <c r="F67" s="605" t="s">
        <v>121</v>
      </c>
      <c r="G67" s="664"/>
      <c r="H67" s="673"/>
      <c r="I67" s="664"/>
      <c r="J67" s="673"/>
      <c r="K67" s="687"/>
      <c r="L67" s="755"/>
      <c r="N67" s="666"/>
      <c r="O67" s="667"/>
      <c r="P67" s="668"/>
      <c r="Q67" s="669"/>
      <c r="R67" s="668"/>
      <c r="S67" s="669"/>
      <c r="T67" s="670"/>
      <c r="U67" s="671"/>
    </row>
    <row r="68" spans="1:21" s="665" customFormat="1">
      <c r="A68" s="660"/>
      <c r="B68" s="773">
        <v>2.4</v>
      </c>
      <c r="C68" s="913" t="s">
        <v>206</v>
      </c>
      <c r="E68" s="662"/>
      <c r="F68" s="605"/>
      <c r="G68" s="664"/>
      <c r="H68" s="673"/>
      <c r="I68" s="664"/>
      <c r="J68" s="673"/>
      <c r="K68" s="687"/>
      <c r="L68" s="755"/>
      <c r="N68" s="666"/>
      <c r="O68" s="667"/>
      <c r="P68" s="668"/>
      <c r="Q68" s="669"/>
      <c r="R68" s="668"/>
      <c r="S68" s="669"/>
      <c r="T68" s="670"/>
      <c r="U68" s="671"/>
    </row>
    <row r="69" spans="1:21" s="665" customFormat="1">
      <c r="A69" s="660"/>
      <c r="B69" s="774"/>
      <c r="C69" s="618" t="s">
        <v>207</v>
      </c>
      <c r="D69" s="661" t="s">
        <v>607</v>
      </c>
      <c r="E69" s="662"/>
      <c r="F69" s="605" t="s">
        <v>97</v>
      </c>
      <c r="G69" s="664"/>
      <c r="H69" s="673"/>
      <c r="I69" s="664"/>
      <c r="J69" s="673"/>
      <c r="K69" s="687"/>
      <c r="L69" s="755"/>
      <c r="N69" s="666"/>
      <c r="O69" s="667"/>
      <c r="P69" s="668"/>
      <c r="Q69" s="669"/>
      <c r="R69" s="668"/>
      <c r="S69" s="669"/>
      <c r="T69" s="670"/>
      <c r="U69" s="671"/>
    </row>
    <row r="70" spans="1:21" s="665" customFormat="1" ht="43.5">
      <c r="A70" s="660"/>
      <c r="B70" s="774"/>
      <c r="C70" s="618" t="s">
        <v>209</v>
      </c>
      <c r="D70" s="661" t="s">
        <v>608</v>
      </c>
      <c r="E70" s="662"/>
      <c r="F70" s="605" t="s">
        <v>97</v>
      </c>
      <c r="G70" s="664"/>
      <c r="H70" s="673"/>
      <c r="I70" s="664"/>
      <c r="J70" s="673"/>
      <c r="K70" s="687"/>
      <c r="L70" s="755"/>
      <c r="N70" s="666"/>
      <c r="O70" s="667"/>
      <c r="P70" s="668"/>
      <c r="Q70" s="669"/>
      <c r="R70" s="668"/>
      <c r="S70" s="669"/>
      <c r="T70" s="670"/>
      <c r="U70" s="671"/>
    </row>
    <row r="71" spans="1:21" s="665" customFormat="1" ht="43.5">
      <c r="A71" s="660"/>
      <c r="B71" s="774"/>
      <c r="C71" s="618" t="s">
        <v>213</v>
      </c>
      <c r="D71" s="661" t="s">
        <v>609</v>
      </c>
      <c r="E71" s="662"/>
      <c r="F71" s="605" t="s">
        <v>211</v>
      </c>
      <c r="G71" s="664"/>
      <c r="H71" s="673"/>
      <c r="I71" s="664"/>
      <c r="J71" s="673"/>
      <c r="K71" s="687"/>
      <c r="L71" s="755"/>
      <c r="N71" s="666"/>
      <c r="O71" s="667"/>
      <c r="P71" s="668"/>
      <c r="Q71" s="669"/>
      <c r="R71" s="668"/>
      <c r="S71" s="669"/>
      <c r="T71" s="670"/>
      <c r="U71" s="671"/>
    </row>
    <row r="72" spans="1:21" s="665" customFormat="1" ht="43.5">
      <c r="A72" s="660"/>
      <c r="B72" s="774"/>
      <c r="C72" s="618" t="s">
        <v>215</v>
      </c>
      <c r="D72" s="661" t="s">
        <v>610</v>
      </c>
      <c r="E72" s="662"/>
      <c r="F72" s="605" t="s">
        <v>211</v>
      </c>
      <c r="G72" s="664"/>
      <c r="H72" s="673"/>
      <c r="I72" s="664"/>
      <c r="J72" s="673"/>
      <c r="K72" s="687"/>
      <c r="L72" s="755"/>
      <c r="N72" s="666"/>
      <c r="O72" s="667"/>
      <c r="P72" s="668"/>
      <c r="Q72" s="669"/>
      <c r="R72" s="668"/>
      <c r="S72" s="669"/>
      <c r="T72" s="670"/>
      <c r="U72" s="671"/>
    </row>
    <row r="73" spans="1:21" s="665" customFormat="1">
      <c r="A73" s="660"/>
      <c r="B73" s="774"/>
      <c r="C73" s="618" t="s">
        <v>217</v>
      </c>
      <c r="D73" s="661" t="s">
        <v>611</v>
      </c>
      <c r="E73" s="662"/>
      <c r="F73" s="605" t="s">
        <v>211</v>
      </c>
      <c r="G73" s="664"/>
      <c r="H73" s="673"/>
      <c r="I73" s="664"/>
      <c r="J73" s="673"/>
      <c r="K73" s="687"/>
      <c r="L73" s="755"/>
      <c r="N73" s="666"/>
      <c r="O73" s="667"/>
      <c r="P73" s="668"/>
      <c r="Q73" s="669"/>
      <c r="R73" s="668"/>
      <c r="S73" s="669"/>
      <c r="T73" s="670"/>
      <c r="U73" s="671"/>
    </row>
    <row r="74" spans="1:21" s="665" customFormat="1">
      <c r="A74" s="660"/>
      <c r="B74" s="774"/>
      <c r="C74" s="618" t="s">
        <v>219</v>
      </c>
      <c r="D74" s="661" t="s">
        <v>612</v>
      </c>
      <c r="E74" s="662"/>
      <c r="F74" s="605" t="s">
        <v>211</v>
      </c>
      <c r="G74" s="664"/>
      <c r="H74" s="673"/>
      <c r="I74" s="664"/>
      <c r="J74" s="673"/>
      <c r="K74" s="687"/>
      <c r="L74" s="755"/>
      <c r="N74" s="666"/>
      <c r="O74" s="667"/>
      <c r="P74" s="668"/>
      <c r="Q74" s="669"/>
      <c r="R74" s="668"/>
      <c r="S74" s="669"/>
      <c r="T74" s="670"/>
      <c r="U74" s="671"/>
    </row>
    <row r="75" spans="1:21" s="665" customFormat="1">
      <c r="A75" s="660"/>
      <c r="B75" s="774"/>
      <c r="C75" s="618" t="s">
        <v>221</v>
      </c>
      <c r="D75" s="661" t="s">
        <v>613</v>
      </c>
      <c r="E75" s="662"/>
      <c r="F75" s="605" t="s">
        <v>211</v>
      </c>
      <c r="G75" s="664"/>
      <c r="H75" s="673"/>
      <c r="I75" s="664"/>
      <c r="J75" s="673"/>
      <c r="K75" s="687"/>
      <c r="L75" s="755"/>
      <c r="N75" s="666"/>
      <c r="O75" s="667"/>
      <c r="P75" s="668"/>
      <c r="Q75" s="669"/>
      <c r="R75" s="668"/>
      <c r="S75" s="669"/>
      <c r="T75" s="670"/>
      <c r="U75" s="671"/>
    </row>
    <row r="76" spans="1:21" s="665" customFormat="1">
      <c r="A76" s="660"/>
      <c r="B76" s="774"/>
      <c r="C76" s="618" t="s">
        <v>224</v>
      </c>
      <c r="D76" s="661" t="s">
        <v>225</v>
      </c>
      <c r="E76" s="662"/>
      <c r="F76" s="605" t="s">
        <v>223</v>
      </c>
      <c r="G76" s="664"/>
      <c r="H76" s="673"/>
      <c r="I76" s="664"/>
      <c r="J76" s="673"/>
      <c r="K76" s="687"/>
      <c r="L76" s="755"/>
      <c r="N76" s="666"/>
      <c r="O76" s="667"/>
      <c r="P76" s="668"/>
      <c r="Q76" s="669"/>
      <c r="R76" s="668"/>
      <c r="S76" s="669"/>
      <c r="T76" s="670"/>
      <c r="U76" s="671"/>
    </row>
    <row r="77" spans="1:21" s="665" customFormat="1">
      <c r="A77" s="660"/>
      <c r="B77" s="774"/>
      <c r="C77" s="618" t="s">
        <v>226</v>
      </c>
      <c r="D77" s="661" t="s">
        <v>614</v>
      </c>
      <c r="E77" s="662"/>
      <c r="F77" s="605" t="s">
        <v>223</v>
      </c>
      <c r="G77" s="664"/>
      <c r="H77" s="673"/>
      <c r="I77" s="664"/>
      <c r="J77" s="673"/>
      <c r="K77" s="687"/>
      <c r="L77" s="755"/>
      <c r="N77" s="666"/>
      <c r="O77" s="667"/>
      <c r="P77" s="668"/>
      <c r="Q77" s="669"/>
      <c r="R77" s="668"/>
      <c r="S77" s="669"/>
      <c r="T77" s="670"/>
      <c r="U77" s="671"/>
    </row>
    <row r="78" spans="1:21" s="665" customFormat="1">
      <c r="A78" s="660"/>
      <c r="B78" s="774"/>
      <c r="C78" s="618" t="s">
        <v>228</v>
      </c>
      <c r="D78" s="661" t="s">
        <v>615</v>
      </c>
      <c r="E78" s="662"/>
      <c r="F78" s="605" t="s">
        <v>223</v>
      </c>
      <c r="G78" s="664"/>
      <c r="H78" s="673"/>
      <c r="I78" s="664"/>
      <c r="J78" s="673"/>
      <c r="K78" s="687"/>
      <c r="L78" s="755"/>
      <c r="N78" s="666"/>
      <c r="O78" s="667"/>
      <c r="P78" s="668"/>
      <c r="Q78" s="669"/>
      <c r="R78" s="668"/>
      <c r="S78" s="669"/>
      <c r="T78" s="670"/>
      <c r="U78" s="671"/>
    </row>
    <row r="79" spans="1:21" s="665" customFormat="1">
      <c r="A79" s="660"/>
      <c r="B79" s="774"/>
      <c r="C79" s="618" t="s">
        <v>232</v>
      </c>
      <c r="D79" s="661" t="s">
        <v>229</v>
      </c>
      <c r="E79" s="662"/>
      <c r="F79" s="605"/>
      <c r="G79" s="664"/>
      <c r="H79" s="673"/>
      <c r="I79" s="664"/>
      <c r="J79" s="673"/>
      <c r="K79" s="687"/>
      <c r="L79" s="755"/>
      <c r="N79" s="666"/>
      <c r="O79" s="667"/>
      <c r="P79" s="668"/>
      <c r="Q79" s="669"/>
      <c r="R79" s="668"/>
      <c r="S79" s="669"/>
      <c r="T79" s="670"/>
      <c r="U79" s="671"/>
    </row>
    <row r="80" spans="1:21" s="665" customFormat="1">
      <c r="A80" s="660"/>
      <c r="B80" s="774"/>
      <c r="C80" s="618"/>
      <c r="D80" s="661" t="s">
        <v>616</v>
      </c>
      <c r="E80" s="662"/>
      <c r="F80" s="605" t="s">
        <v>185</v>
      </c>
      <c r="G80" s="664"/>
      <c r="H80" s="673"/>
      <c r="I80" s="664"/>
      <c r="J80" s="673"/>
      <c r="K80" s="687"/>
      <c r="L80" s="755"/>
      <c r="N80" s="666"/>
      <c r="O80" s="667"/>
      <c r="P80" s="668"/>
      <c r="Q80" s="669"/>
      <c r="R80" s="668"/>
      <c r="S80" s="669"/>
      <c r="T80" s="670"/>
      <c r="U80" s="671"/>
    </row>
    <row r="81" spans="1:21" s="665" customFormat="1">
      <c r="A81" s="660"/>
      <c r="B81" s="774"/>
      <c r="C81" s="618"/>
      <c r="D81" s="661" t="s">
        <v>617</v>
      </c>
      <c r="E81" s="662"/>
      <c r="F81" s="605" t="s">
        <v>185</v>
      </c>
      <c r="G81" s="664"/>
      <c r="H81" s="673"/>
      <c r="I81" s="664"/>
      <c r="J81" s="673"/>
      <c r="K81" s="687"/>
      <c r="L81" s="755"/>
      <c r="N81" s="666"/>
      <c r="O81" s="667"/>
      <c r="P81" s="668"/>
      <c r="Q81" s="669"/>
      <c r="R81" s="668"/>
      <c r="S81" s="669"/>
      <c r="T81" s="670"/>
      <c r="U81" s="671"/>
    </row>
    <row r="82" spans="1:21" s="665" customFormat="1">
      <c r="A82" s="660"/>
      <c r="B82" s="774"/>
      <c r="C82" s="618" t="s">
        <v>232</v>
      </c>
      <c r="D82" s="661" t="s">
        <v>618</v>
      </c>
      <c r="E82" s="662"/>
      <c r="F82" s="605"/>
      <c r="G82" s="664"/>
      <c r="H82" s="673"/>
      <c r="I82" s="664"/>
      <c r="J82" s="673"/>
      <c r="K82" s="687"/>
      <c r="L82" s="755"/>
      <c r="N82" s="666"/>
      <c r="O82" s="667"/>
      <c r="P82" s="668"/>
      <c r="Q82" s="669"/>
      <c r="R82" s="668"/>
      <c r="S82" s="669"/>
      <c r="T82" s="670"/>
      <c r="U82" s="671"/>
    </row>
    <row r="83" spans="1:21" s="665" customFormat="1">
      <c r="A83" s="660"/>
      <c r="B83" s="774"/>
      <c r="C83" s="618"/>
      <c r="D83" s="661" t="s">
        <v>619</v>
      </c>
      <c r="E83" s="662"/>
      <c r="F83" s="605" t="s">
        <v>185</v>
      </c>
      <c r="G83" s="664"/>
      <c r="H83" s="673"/>
      <c r="I83" s="664"/>
      <c r="J83" s="673"/>
      <c r="K83" s="687"/>
      <c r="L83" s="755"/>
      <c r="N83" s="666"/>
      <c r="O83" s="667"/>
      <c r="P83" s="668"/>
      <c r="Q83" s="669"/>
      <c r="R83" s="668"/>
      <c r="S83" s="669"/>
      <c r="T83" s="670"/>
      <c r="U83" s="671"/>
    </row>
    <row r="84" spans="1:21" s="665" customFormat="1">
      <c r="A84" s="660"/>
      <c r="B84" s="774"/>
      <c r="C84" s="618"/>
      <c r="D84" s="661" t="s">
        <v>620</v>
      </c>
      <c r="E84" s="662"/>
      <c r="F84" s="605" t="s">
        <v>185</v>
      </c>
      <c r="G84" s="664"/>
      <c r="H84" s="673"/>
      <c r="I84" s="664"/>
      <c r="J84" s="673"/>
      <c r="K84" s="687"/>
      <c r="L84" s="755"/>
      <c r="N84" s="666"/>
      <c r="O84" s="667"/>
      <c r="P84" s="668"/>
      <c r="Q84" s="669"/>
      <c r="R84" s="668"/>
      <c r="S84" s="669"/>
      <c r="T84" s="670"/>
      <c r="U84" s="671"/>
    </row>
    <row r="85" spans="1:21" s="665" customFormat="1">
      <c r="A85" s="660"/>
      <c r="B85" s="774"/>
      <c r="C85" s="618"/>
      <c r="D85" s="661" t="s">
        <v>236</v>
      </c>
      <c r="E85" s="662"/>
      <c r="F85" s="605" t="s">
        <v>185</v>
      </c>
      <c r="G85" s="664"/>
      <c r="H85" s="673"/>
      <c r="I85" s="664"/>
      <c r="J85" s="673"/>
      <c r="K85" s="687"/>
      <c r="L85" s="755"/>
      <c r="N85" s="666"/>
      <c r="O85" s="667"/>
      <c r="P85" s="668"/>
      <c r="Q85" s="669"/>
      <c r="R85" s="668"/>
      <c r="S85" s="669"/>
      <c r="T85" s="670"/>
      <c r="U85" s="671"/>
    </row>
    <row r="86" spans="1:21" s="665" customFormat="1">
      <c r="A86" s="660"/>
      <c r="B86" s="773">
        <v>2.5</v>
      </c>
      <c r="C86" s="913" t="s">
        <v>237</v>
      </c>
      <c r="E86" s="662"/>
      <c r="F86" s="605"/>
      <c r="G86" s="664"/>
      <c r="H86" s="673"/>
      <c r="I86" s="664"/>
      <c r="J86" s="673"/>
      <c r="K86" s="687"/>
      <c r="L86" s="755"/>
      <c r="N86" s="666"/>
      <c r="O86" s="667"/>
      <c r="P86" s="668"/>
      <c r="Q86" s="669"/>
      <c r="R86" s="668"/>
      <c r="S86" s="669"/>
      <c r="T86" s="670"/>
      <c r="U86" s="671"/>
    </row>
    <row r="87" spans="1:21" s="665" customFormat="1" ht="21.75" customHeight="1">
      <c r="A87" s="660"/>
      <c r="B87" s="774"/>
      <c r="C87" s="618" t="s">
        <v>238</v>
      </c>
      <c r="D87" s="661" t="s">
        <v>239</v>
      </c>
      <c r="E87" s="662"/>
      <c r="F87" s="605" t="s">
        <v>240</v>
      </c>
      <c r="G87" s="664"/>
      <c r="H87" s="673"/>
      <c r="I87" s="664"/>
      <c r="J87" s="673"/>
      <c r="K87" s="687"/>
      <c r="L87" s="755"/>
      <c r="N87" s="666"/>
      <c r="O87" s="667"/>
      <c r="P87" s="668"/>
      <c r="Q87" s="669"/>
      <c r="R87" s="668"/>
      <c r="S87" s="669"/>
      <c r="T87" s="670"/>
      <c r="U87" s="671"/>
    </row>
    <row r="88" spans="1:21" s="665" customFormat="1">
      <c r="A88" s="660"/>
      <c r="B88" s="774"/>
      <c r="C88" s="618" t="s">
        <v>241</v>
      </c>
      <c r="D88" s="661" t="s">
        <v>242</v>
      </c>
      <c r="E88" s="662"/>
      <c r="F88" s="605" t="s">
        <v>240</v>
      </c>
      <c r="G88" s="664"/>
      <c r="H88" s="673"/>
      <c r="I88" s="664"/>
      <c r="J88" s="673"/>
      <c r="K88" s="687"/>
      <c r="L88" s="755"/>
      <c r="N88" s="666"/>
      <c r="O88" s="667"/>
      <c r="P88" s="668"/>
      <c r="Q88" s="669"/>
      <c r="R88" s="668"/>
      <c r="S88" s="669"/>
      <c r="T88" s="670"/>
      <c r="U88" s="671"/>
    </row>
    <row r="89" spans="1:21" s="665" customFormat="1">
      <c r="A89" s="660"/>
      <c r="B89" s="774"/>
      <c r="C89" s="618" t="s">
        <v>243</v>
      </c>
      <c r="D89" s="661" t="s">
        <v>244</v>
      </c>
      <c r="E89" s="662"/>
      <c r="F89" s="605" t="s">
        <v>240</v>
      </c>
      <c r="G89" s="664"/>
      <c r="H89" s="673"/>
      <c r="I89" s="664"/>
      <c r="J89" s="673"/>
      <c r="K89" s="687"/>
      <c r="L89" s="755"/>
      <c r="N89" s="666"/>
      <c r="O89" s="667"/>
      <c r="P89" s="668"/>
      <c r="Q89" s="669"/>
      <c r="R89" s="668"/>
      <c r="S89" s="669"/>
      <c r="T89" s="670"/>
      <c r="U89" s="671"/>
    </row>
    <row r="90" spans="1:21" s="665" customFormat="1" ht="43.5">
      <c r="A90" s="660"/>
      <c r="B90" s="774"/>
      <c r="C90" s="618" t="s">
        <v>245</v>
      </c>
      <c r="D90" s="661" t="s">
        <v>621</v>
      </c>
      <c r="E90" s="662"/>
      <c r="F90" s="605" t="s">
        <v>240</v>
      </c>
      <c r="G90" s="664"/>
      <c r="H90" s="673"/>
      <c r="I90" s="664"/>
      <c r="J90" s="673"/>
      <c r="K90" s="687"/>
      <c r="L90" s="755"/>
      <c r="N90" s="666"/>
      <c r="O90" s="667"/>
      <c r="P90" s="668"/>
      <c r="Q90" s="669"/>
      <c r="R90" s="668"/>
      <c r="S90" s="669"/>
      <c r="T90" s="670"/>
      <c r="U90" s="671"/>
    </row>
    <row r="91" spans="1:21" s="665" customFormat="1" ht="43.5">
      <c r="A91" s="660"/>
      <c r="B91" s="774"/>
      <c r="C91" s="618" t="s">
        <v>249</v>
      </c>
      <c r="D91" s="661" t="s">
        <v>622</v>
      </c>
      <c r="E91" s="662"/>
      <c r="F91" s="605" t="s">
        <v>240</v>
      </c>
      <c r="G91" s="664"/>
      <c r="H91" s="673"/>
      <c r="I91" s="664"/>
      <c r="J91" s="673"/>
      <c r="K91" s="687"/>
      <c r="L91" s="755"/>
      <c r="N91" s="666"/>
      <c r="O91" s="667"/>
      <c r="P91" s="668"/>
      <c r="Q91" s="669"/>
      <c r="R91" s="668"/>
      <c r="S91" s="669"/>
      <c r="T91" s="670"/>
      <c r="U91" s="671"/>
    </row>
    <row r="92" spans="1:21" s="665" customFormat="1">
      <c r="A92" s="660"/>
      <c r="B92" s="774"/>
      <c r="C92" s="618" t="s">
        <v>251</v>
      </c>
      <c r="D92" s="661" t="s">
        <v>623</v>
      </c>
      <c r="E92" s="662"/>
      <c r="F92" s="605" t="s">
        <v>240</v>
      </c>
      <c r="G92" s="664"/>
      <c r="H92" s="673"/>
      <c r="I92" s="664"/>
      <c r="J92" s="673"/>
      <c r="K92" s="687"/>
      <c r="L92" s="755"/>
      <c r="N92" s="666"/>
      <c r="O92" s="667"/>
      <c r="P92" s="668"/>
      <c r="Q92" s="669"/>
      <c r="R92" s="668"/>
      <c r="S92" s="669"/>
      <c r="T92" s="670"/>
      <c r="U92" s="671"/>
    </row>
    <row r="93" spans="1:21" s="665" customFormat="1">
      <c r="A93" s="660"/>
      <c r="B93" s="774"/>
      <c r="C93" s="618" t="s">
        <v>253</v>
      </c>
      <c r="D93" s="661" t="s">
        <v>624</v>
      </c>
      <c r="E93" s="662"/>
      <c r="F93" s="605" t="s">
        <v>240</v>
      </c>
      <c r="G93" s="664"/>
      <c r="H93" s="673"/>
      <c r="I93" s="664"/>
      <c r="J93" s="673"/>
      <c r="K93" s="687"/>
      <c r="L93" s="755"/>
      <c r="N93" s="666"/>
      <c r="O93" s="667"/>
      <c r="P93" s="668"/>
      <c r="Q93" s="669"/>
      <c r="R93" s="668"/>
      <c r="S93" s="669"/>
      <c r="T93" s="670"/>
      <c r="U93" s="671"/>
    </row>
    <row r="94" spans="1:21" s="665" customFormat="1">
      <c r="A94" s="660"/>
      <c r="B94" s="774"/>
      <c r="C94" s="618" t="s">
        <v>255</v>
      </c>
      <c r="D94" s="661" t="s">
        <v>625</v>
      </c>
      <c r="E94" s="662"/>
      <c r="F94" s="605" t="s">
        <v>240</v>
      </c>
      <c r="G94" s="664"/>
      <c r="H94" s="673"/>
      <c r="I94" s="664"/>
      <c r="J94" s="673"/>
      <c r="K94" s="687"/>
      <c r="L94" s="755"/>
      <c r="N94" s="666"/>
      <c r="O94" s="667"/>
      <c r="P94" s="668"/>
      <c r="Q94" s="669"/>
      <c r="R94" s="668"/>
      <c r="S94" s="669"/>
      <c r="T94" s="670"/>
      <c r="U94" s="671"/>
    </row>
    <row r="95" spans="1:21" s="665" customFormat="1" ht="43.5">
      <c r="A95" s="660"/>
      <c r="B95" s="774"/>
      <c r="C95" s="618" t="s">
        <v>247</v>
      </c>
      <c r="D95" s="661" t="s">
        <v>626</v>
      </c>
      <c r="E95" s="662"/>
      <c r="F95" s="605" t="s">
        <v>240</v>
      </c>
      <c r="G95" s="664"/>
      <c r="H95" s="673"/>
      <c r="I95" s="664"/>
      <c r="J95" s="673"/>
      <c r="K95" s="687"/>
      <c r="L95" s="755"/>
      <c r="N95" s="666"/>
      <c r="O95" s="667"/>
      <c r="P95" s="668"/>
      <c r="Q95" s="669"/>
      <c r="R95" s="668"/>
      <c r="S95" s="669"/>
      <c r="T95" s="670"/>
      <c r="U95" s="671"/>
    </row>
    <row r="96" spans="1:21" s="665" customFormat="1">
      <c r="A96" s="660"/>
      <c r="B96" s="774"/>
      <c r="C96" s="618" t="s">
        <v>257</v>
      </c>
      <c r="D96" s="661" t="s">
        <v>258</v>
      </c>
      <c r="E96" s="662"/>
      <c r="F96" s="605"/>
      <c r="G96" s="664"/>
      <c r="H96" s="673"/>
      <c r="I96" s="664"/>
      <c r="J96" s="673"/>
      <c r="K96" s="687"/>
      <c r="L96" s="755"/>
      <c r="N96" s="666"/>
      <c r="O96" s="667"/>
      <c r="P96" s="668"/>
      <c r="Q96" s="669"/>
      <c r="R96" s="668"/>
      <c r="S96" s="669"/>
      <c r="T96" s="670"/>
      <c r="U96" s="671"/>
    </row>
    <row r="97" spans="1:21" s="665" customFormat="1">
      <c r="A97" s="660"/>
      <c r="B97" s="774"/>
      <c r="C97" s="618"/>
      <c r="D97" s="661" t="s">
        <v>627</v>
      </c>
      <c r="E97" s="662"/>
      <c r="F97" s="605" t="s">
        <v>240</v>
      </c>
      <c r="G97" s="664"/>
      <c r="H97" s="673"/>
      <c r="I97" s="664"/>
      <c r="J97" s="673"/>
      <c r="K97" s="687"/>
      <c r="L97" s="755"/>
      <c r="N97" s="666"/>
      <c r="O97" s="667"/>
      <c r="P97" s="668"/>
      <c r="Q97" s="669"/>
      <c r="R97" s="668"/>
      <c r="S97" s="669"/>
      <c r="T97" s="670"/>
      <c r="U97" s="671"/>
    </row>
    <row r="98" spans="1:21" s="665" customFormat="1">
      <c r="A98" s="660"/>
      <c r="B98" s="774"/>
      <c r="C98" s="618"/>
      <c r="D98" s="661" t="s">
        <v>628</v>
      </c>
      <c r="E98" s="662"/>
      <c r="F98" s="605" t="s">
        <v>240</v>
      </c>
      <c r="G98" s="664"/>
      <c r="H98" s="673"/>
      <c r="I98" s="664"/>
      <c r="J98" s="673"/>
      <c r="K98" s="687"/>
      <c r="L98" s="755"/>
      <c r="N98" s="666"/>
      <c r="O98" s="667"/>
      <c r="P98" s="668"/>
      <c r="Q98" s="669"/>
      <c r="R98" s="668"/>
      <c r="S98" s="669"/>
      <c r="T98" s="670"/>
      <c r="U98" s="671"/>
    </row>
    <row r="99" spans="1:21" s="665" customFormat="1">
      <c r="A99" s="660"/>
      <c r="B99" s="774"/>
      <c r="C99" s="618"/>
      <c r="D99" s="661" t="s">
        <v>629</v>
      </c>
      <c r="E99" s="662"/>
      <c r="F99" s="605" t="s">
        <v>240</v>
      </c>
      <c r="G99" s="664"/>
      <c r="H99" s="673"/>
      <c r="I99" s="664"/>
      <c r="J99" s="673"/>
      <c r="K99" s="687"/>
      <c r="L99" s="755"/>
      <c r="N99" s="666"/>
      <c r="O99" s="667"/>
      <c r="P99" s="668"/>
      <c r="Q99" s="669"/>
      <c r="R99" s="668"/>
      <c r="S99" s="669"/>
      <c r="T99" s="670"/>
      <c r="U99" s="671"/>
    </row>
    <row r="100" spans="1:21" s="665" customFormat="1">
      <c r="A100" s="660"/>
      <c r="B100" s="774"/>
      <c r="C100" s="618"/>
      <c r="D100" s="661" t="s">
        <v>630</v>
      </c>
      <c r="E100" s="662"/>
      <c r="F100" s="605" t="s">
        <v>240</v>
      </c>
      <c r="G100" s="664"/>
      <c r="H100" s="673"/>
      <c r="I100" s="664"/>
      <c r="J100" s="673"/>
      <c r="K100" s="687"/>
      <c r="L100" s="755"/>
      <c r="N100" s="666"/>
      <c r="O100" s="667"/>
      <c r="P100" s="668"/>
      <c r="Q100" s="669"/>
      <c r="R100" s="668"/>
      <c r="S100" s="669"/>
      <c r="T100" s="670"/>
      <c r="U100" s="671"/>
    </row>
    <row r="101" spans="1:21" s="665" customFormat="1">
      <c r="A101" s="660"/>
      <c r="B101" s="774"/>
      <c r="C101" s="618"/>
      <c r="D101" s="661" t="s">
        <v>631</v>
      </c>
      <c r="E101" s="662"/>
      <c r="F101" s="605" t="s">
        <v>240</v>
      </c>
      <c r="G101" s="664"/>
      <c r="H101" s="673"/>
      <c r="I101" s="664"/>
      <c r="J101" s="673"/>
      <c r="K101" s="687"/>
      <c r="L101" s="755"/>
      <c r="N101" s="666"/>
      <c r="O101" s="667"/>
      <c r="P101" s="668"/>
      <c r="Q101" s="669"/>
      <c r="R101" s="668"/>
      <c r="S101" s="669"/>
      <c r="T101" s="670"/>
      <c r="U101" s="671"/>
    </row>
    <row r="102" spans="1:21" s="665" customFormat="1">
      <c r="A102" s="660"/>
      <c r="B102" s="774">
        <v>2.6</v>
      </c>
      <c r="C102" s="914" t="s">
        <v>261</v>
      </c>
      <c r="E102" s="662"/>
      <c r="F102" s="605"/>
      <c r="G102" s="664"/>
      <c r="H102" s="673"/>
      <c r="I102" s="664"/>
      <c r="J102" s="673"/>
      <c r="K102" s="687"/>
      <c r="L102" s="755"/>
      <c r="N102" s="666"/>
      <c r="O102" s="667"/>
      <c r="P102" s="668"/>
      <c r="Q102" s="669"/>
      <c r="R102" s="668"/>
      <c r="S102" s="669"/>
      <c r="T102" s="670"/>
      <c r="U102" s="671"/>
    </row>
    <row r="103" spans="1:21" s="665" customFormat="1">
      <c r="A103" s="660"/>
      <c r="B103" s="774"/>
      <c r="C103" s="618" t="s">
        <v>262</v>
      </c>
      <c r="D103" s="661" t="s">
        <v>263</v>
      </c>
      <c r="E103" s="662"/>
      <c r="F103" s="605" t="s">
        <v>121</v>
      </c>
      <c r="G103" s="664"/>
      <c r="H103" s="673"/>
      <c r="I103" s="664"/>
      <c r="J103" s="673"/>
      <c r="K103" s="687"/>
      <c r="L103" s="755"/>
      <c r="N103" s="666"/>
      <c r="O103" s="667"/>
      <c r="P103" s="668"/>
      <c r="Q103" s="669"/>
      <c r="R103" s="668"/>
      <c r="S103" s="669"/>
      <c r="T103" s="670"/>
      <c r="U103" s="671"/>
    </row>
    <row r="104" spans="1:21" s="665" customFormat="1">
      <c r="A104" s="660"/>
      <c r="B104" s="774"/>
      <c r="C104" s="618" t="s">
        <v>264</v>
      </c>
      <c r="D104" s="661" t="s">
        <v>265</v>
      </c>
      <c r="E104" s="662"/>
      <c r="F104" s="605" t="s">
        <v>121</v>
      </c>
      <c r="G104" s="664"/>
      <c r="H104" s="673"/>
      <c r="I104" s="664"/>
      <c r="J104" s="673"/>
      <c r="K104" s="687"/>
      <c r="L104" s="755"/>
      <c r="N104" s="666"/>
      <c r="O104" s="667"/>
      <c r="P104" s="668"/>
      <c r="Q104" s="669"/>
      <c r="R104" s="668"/>
      <c r="S104" s="669"/>
      <c r="T104" s="670"/>
      <c r="U104" s="671"/>
    </row>
    <row r="105" spans="1:21" s="665" customFormat="1">
      <c r="A105" s="660"/>
      <c r="B105" s="774"/>
      <c r="C105" s="618" t="s">
        <v>266</v>
      </c>
      <c r="D105" s="661" t="s">
        <v>632</v>
      </c>
      <c r="E105" s="662"/>
      <c r="F105" s="605" t="s">
        <v>121</v>
      </c>
      <c r="G105" s="664"/>
      <c r="H105" s="673"/>
      <c r="I105" s="664"/>
      <c r="J105" s="673"/>
      <c r="K105" s="687"/>
      <c r="L105" s="755"/>
      <c r="N105" s="666"/>
      <c r="O105" s="667"/>
      <c r="P105" s="668"/>
      <c r="Q105" s="669"/>
      <c r="R105" s="668"/>
      <c r="S105" s="669"/>
      <c r="T105" s="670"/>
      <c r="U105" s="671"/>
    </row>
    <row r="106" spans="1:21" s="665" customFormat="1">
      <c r="A106" s="660"/>
      <c r="B106" s="774"/>
      <c r="C106" s="618" t="s">
        <v>268</v>
      </c>
      <c r="D106" s="661" t="s">
        <v>633</v>
      </c>
      <c r="E106" s="662"/>
      <c r="F106" s="605" t="s">
        <v>121</v>
      </c>
      <c r="G106" s="664"/>
      <c r="H106" s="673"/>
      <c r="I106" s="664"/>
      <c r="J106" s="673"/>
      <c r="K106" s="687"/>
      <c r="L106" s="755"/>
      <c r="N106" s="666"/>
      <c r="O106" s="667"/>
      <c r="P106" s="668"/>
      <c r="Q106" s="669"/>
      <c r="R106" s="668"/>
      <c r="S106" s="669"/>
      <c r="T106" s="670"/>
      <c r="U106" s="671"/>
    </row>
    <row r="107" spans="1:21" s="665" customFormat="1">
      <c r="A107" s="660"/>
      <c r="B107" s="774"/>
      <c r="C107" s="618" t="s">
        <v>270</v>
      </c>
      <c r="D107" s="661" t="s">
        <v>267</v>
      </c>
      <c r="E107" s="662"/>
      <c r="F107" s="605" t="s">
        <v>121</v>
      </c>
      <c r="G107" s="664"/>
      <c r="H107" s="673"/>
      <c r="I107" s="664"/>
      <c r="J107" s="673"/>
      <c r="K107" s="687"/>
      <c r="L107" s="755"/>
      <c r="N107" s="666"/>
      <c r="O107" s="667"/>
      <c r="P107" s="668"/>
      <c r="Q107" s="669"/>
      <c r="R107" s="668"/>
      <c r="S107" s="669"/>
      <c r="T107" s="670"/>
      <c r="U107" s="671"/>
    </row>
    <row r="108" spans="1:21" s="665" customFormat="1">
      <c r="A108" s="660"/>
      <c r="B108" s="774"/>
      <c r="C108" s="618" t="s">
        <v>272</v>
      </c>
      <c r="D108" s="661" t="s">
        <v>271</v>
      </c>
      <c r="E108" s="662"/>
      <c r="F108" s="605" t="s">
        <v>121</v>
      </c>
      <c r="G108" s="664"/>
      <c r="H108" s="673"/>
      <c r="I108" s="664"/>
      <c r="J108" s="673"/>
      <c r="K108" s="687"/>
      <c r="L108" s="755"/>
      <c r="N108" s="666"/>
      <c r="O108" s="667"/>
      <c r="P108" s="668"/>
      <c r="Q108" s="669"/>
      <c r="R108" s="668"/>
      <c r="S108" s="669"/>
      <c r="T108" s="670"/>
      <c r="U108" s="671"/>
    </row>
    <row r="109" spans="1:21" s="665" customFormat="1">
      <c r="A109" s="660"/>
      <c r="B109" s="774">
        <v>2.7</v>
      </c>
      <c r="C109" s="913" t="s">
        <v>274</v>
      </c>
      <c r="E109" s="662"/>
      <c r="F109" s="605"/>
      <c r="G109" s="664"/>
      <c r="H109" s="673"/>
      <c r="I109" s="664"/>
      <c r="J109" s="673"/>
      <c r="K109" s="687"/>
      <c r="L109" s="755"/>
      <c r="N109" s="666"/>
      <c r="O109" s="667"/>
      <c r="P109" s="668"/>
      <c r="Q109" s="669"/>
      <c r="R109" s="668"/>
      <c r="S109" s="669"/>
      <c r="T109" s="670"/>
      <c r="U109" s="671"/>
    </row>
    <row r="110" spans="1:21" s="665" customFormat="1" ht="43.5">
      <c r="A110" s="660"/>
      <c r="B110" s="774"/>
      <c r="C110" s="618" t="s">
        <v>275</v>
      </c>
      <c r="D110" s="661" t="s">
        <v>634</v>
      </c>
      <c r="E110" s="662"/>
      <c r="F110" s="605" t="s">
        <v>277</v>
      </c>
      <c r="G110" s="664"/>
      <c r="H110" s="673"/>
      <c r="I110" s="664"/>
      <c r="J110" s="673"/>
      <c r="K110" s="687"/>
      <c r="L110" s="755"/>
      <c r="N110" s="666"/>
      <c r="O110" s="667"/>
      <c r="P110" s="668"/>
      <c r="Q110" s="669"/>
      <c r="R110" s="668"/>
      <c r="S110" s="669"/>
      <c r="T110" s="670"/>
      <c r="U110" s="671"/>
    </row>
    <row r="111" spans="1:21" s="665" customFormat="1">
      <c r="A111" s="660"/>
      <c r="B111" s="774"/>
      <c r="C111" s="618"/>
      <c r="D111" s="661"/>
      <c r="E111" s="662"/>
      <c r="F111" s="605"/>
      <c r="G111" s="664"/>
      <c r="H111" s="664"/>
      <c r="I111" s="664"/>
      <c r="J111" s="673"/>
      <c r="K111" s="687"/>
      <c r="L111" s="755"/>
      <c r="N111" s="666"/>
      <c r="O111" s="667"/>
      <c r="P111" s="668"/>
      <c r="Q111" s="669"/>
      <c r="R111" s="668"/>
      <c r="S111" s="669"/>
      <c r="T111" s="670"/>
      <c r="U111" s="671"/>
    </row>
    <row r="112" spans="1:21" ht="23.25">
      <c r="A112" s="1180">
        <v>3</v>
      </c>
      <c r="B112" s="1181" t="s">
        <v>635</v>
      </c>
      <c r="C112" s="646"/>
      <c r="D112" s="1182"/>
      <c r="E112" s="1183"/>
      <c r="F112" s="1184"/>
      <c r="G112" s="1185"/>
      <c r="H112" s="1185"/>
      <c r="I112" s="1185"/>
      <c r="J112" s="1185"/>
      <c r="K112" s="1186"/>
      <c r="L112" s="1187"/>
      <c r="N112" s="14"/>
      <c r="O112" s="15"/>
      <c r="P112" s="20"/>
      <c r="Q112" s="17"/>
      <c r="R112" s="20"/>
      <c r="S112" s="16"/>
      <c r="T112" s="18"/>
      <c r="U112" s="13"/>
    </row>
    <row r="113" spans="1:21" s="665" customFormat="1">
      <c r="A113" s="660">
        <v>3.1</v>
      </c>
      <c r="B113" s="738" t="s">
        <v>279</v>
      </c>
      <c r="C113" s="738"/>
      <c r="D113" s="661"/>
      <c r="E113" s="758"/>
      <c r="F113" s="758"/>
      <c r="G113" s="664"/>
      <c r="H113" s="664"/>
      <c r="I113" s="664"/>
      <c r="J113" s="664"/>
      <c r="K113" s="686"/>
      <c r="L113" s="754"/>
      <c r="N113" s="666"/>
      <c r="O113" s="667"/>
      <c r="P113" s="668"/>
      <c r="Q113" s="669"/>
      <c r="R113" s="668"/>
      <c r="S113" s="669"/>
      <c r="T113" s="670"/>
      <c r="U113" s="671"/>
    </row>
    <row r="114" spans="1:21" s="665" customFormat="1">
      <c r="A114" s="660"/>
      <c r="B114" s="739" t="s">
        <v>280</v>
      </c>
      <c r="C114" s="740" t="s">
        <v>281</v>
      </c>
      <c r="E114" s="758"/>
      <c r="F114" s="758"/>
      <c r="G114" s="664"/>
      <c r="H114" s="664"/>
      <c r="I114" s="664"/>
      <c r="J114" s="664"/>
      <c r="K114" s="686"/>
      <c r="L114" s="754"/>
      <c r="N114" s="666"/>
      <c r="O114" s="667"/>
      <c r="P114" s="668"/>
      <c r="Q114" s="669"/>
      <c r="R114" s="668"/>
      <c r="S114" s="669"/>
      <c r="T114" s="670"/>
      <c r="U114" s="671"/>
    </row>
    <row r="115" spans="1:21" s="665" customFormat="1" ht="43.5">
      <c r="A115" s="660"/>
      <c r="B115" s="739"/>
      <c r="C115" s="737" t="s">
        <v>282</v>
      </c>
      <c r="D115" s="661" t="s">
        <v>636</v>
      </c>
      <c r="E115" s="758"/>
      <c r="F115" s="758" t="s">
        <v>284</v>
      </c>
      <c r="G115" s="664"/>
      <c r="H115" s="673"/>
      <c r="I115" s="664"/>
      <c r="J115" s="673"/>
      <c r="K115" s="687"/>
      <c r="L115" s="755"/>
      <c r="N115" s="666"/>
      <c r="O115" s="667"/>
      <c r="P115" s="668"/>
      <c r="Q115" s="669"/>
      <c r="R115" s="668"/>
      <c r="S115" s="669"/>
      <c r="T115" s="670"/>
      <c r="U115" s="671"/>
    </row>
    <row r="116" spans="1:21" s="665" customFormat="1">
      <c r="A116" s="660"/>
      <c r="B116" s="739"/>
      <c r="C116" s="737" t="s">
        <v>282</v>
      </c>
      <c r="D116" s="661" t="s">
        <v>285</v>
      </c>
      <c r="E116" s="758"/>
      <c r="F116" s="758" t="s">
        <v>284</v>
      </c>
      <c r="G116" s="664"/>
      <c r="H116" s="673"/>
      <c r="I116" s="664"/>
      <c r="J116" s="673"/>
      <c r="K116" s="687"/>
      <c r="L116" s="755"/>
      <c r="N116" s="666"/>
      <c r="O116" s="667"/>
      <c r="P116" s="668"/>
      <c r="Q116" s="669"/>
      <c r="R116" s="668"/>
      <c r="S116" s="669"/>
      <c r="T116" s="670"/>
      <c r="U116" s="671"/>
    </row>
    <row r="117" spans="1:21" s="665" customFormat="1">
      <c r="A117" s="660"/>
      <c r="B117" s="739"/>
      <c r="C117" s="737" t="s">
        <v>282</v>
      </c>
      <c r="D117" s="661" t="s">
        <v>286</v>
      </c>
      <c r="E117" s="758"/>
      <c r="F117" s="758" t="s">
        <v>287</v>
      </c>
      <c r="G117" s="664"/>
      <c r="H117" s="673"/>
      <c r="I117" s="664"/>
      <c r="J117" s="673"/>
      <c r="K117" s="687"/>
      <c r="L117" s="755"/>
      <c r="N117" s="666"/>
      <c r="O117" s="667"/>
      <c r="P117" s="668"/>
      <c r="Q117" s="669"/>
      <c r="R117" s="668"/>
      <c r="S117" s="669"/>
      <c r="T117" s="670"/>
      <c r="U117" s="671"/>
    </row>
    <row r="118" spans="1:21" s="730" customFormat="1">
      <c r="A118" s="727"/>
      <c r="B118" s="739"/>
      <c r="C118" s="737" t="s">
        <v>282</v>
      </c>
      <c r="D118" s="661" t="s">
        <v>288</v>
      </c>
      <c r="E118" s="759"/>
      <c r="F118" s="759" t="s">
        <v>287</v>
      </c>
      <c r="G118" s="673"/>
      <c r="H118" s="673"/>
      <c r="I118" s="673"/>
      <c r="J118" s="673"/>
      <c r="K118" s="687"/>
      <c r="L118" s="755"/>
      <c r="N118" s="731"/>
      <c r="O118" s="5"/>
      <c r="P118" s="732"/>
      <c r="Q118" s="733"/>
      <c r="R118" s="732"/>
      <c r="S118" s="733"/>
      <c r="T118" s="734"/>
      <c r="U118" s="735"/>
    </row>
    <row r="119" spans="1:21" s="730" customFormat="1">
      <c r="A119" s="727"/>
      <c r="B119" s="739"/>
      <c r="C119" s="737" t="s">
        <v>282</v>
      </c>
      <c r="D119" s="661" t="s">
        <v>289</v>
      </c>
      <c r="E119" s="759"/>
      <c r="F119" s="759" t="s">
        <v>287</v>
      </c>
      <c r="G119" s="673"/>
      <c r="H119" s="673"/>
      <c r="I119" s="673"/>
      <c r="J119" s="673"/>
      <c r="K119" s="687"/>
      <c r="L119" s="755"/>
      <c r="N119" s="731"/>
      <c r="O119" s="5"/>
      <c r="P119" s="732"/>
      <c r="Q119" s="733"/>
      <c r="R119" s="732"/>
      <c r="S119" s="733"/>
      <c r="T119" s="734"/>
      <c r="U119" s="735"/>
    </row>
    <row r="120" spans="1:21" s="730" customFormat="1">
      <c r="A120" s="727"/>
      <c r="B120" s="739"/>
      <c r="C120" s="737" t="s">
        <v>282</v>
      </c>
      <c r="D120" s="661" t="s">
        <v>290</v>
      </c>
      <c r="E120" s="759"/>
      <c r="F120" s="759" t="s">
        <v>287</v>
      </c>
      <c r="G120" s="673"/>
      <c r="H120" s="673"/>
      <c r="I120" s="673"/>
      <c r="J120" s="673"/>
      <c r="K120" s="687"/>
      <c r="L120" s="755"/>
      <c r="N120" s="731"/>
      <c r="O120" s="5"/>
      <c r="P120" s="732"/>
      <c r="Q120" s="733"/>
      <c r="R120" s="732"/>
      <c r="S120" s="733"/>
      <c r="T120" s="734"/>
      <c r="U120" s="735"/>
    </row>
    <row r="121" spans="1:21" s="730" customFormat="1">
      <c r="A121" s="727"/>
      <c r="B121" s="739" t="s">
        <v>291</v>
      </c>
      <c r="C121" s="728" t="s">
        <v>292</v>
      </c>
      <c r="E121" s="759"/>
      <c r="F121" s="759"/>
      <c r="G121" s="673"/>
      <c r="H121" s="673"/>
      <c r="I121" s="673"/>
      <c r="J121" s="673"/>
      <c r="K121" s="687"/>
      <c r="L121" s="755"/>
      <c r="N121" s="731"/>
      <c r="O121" s="5"/>
      <c r="P121" s="732"/>
      <c r="Q121" s="733"/>
      <c r="R121" s="732"/>
      <c r="S121" s="733"/>
      <c r="T121" s="734"/>
      <c r="U121" s="735"/>
    </row>
    <row r="122" spans="1:21" s="730" customFormat="1">
      <c r="A122" s="727"/>
      <c r="B122" s="739"/>
      <c r="C122" s="737" t="s">
        <v>282</v>
      </c>
      <c r="D122" s="661" t="s">
        <v>637</v>
      </c>
      <c r="E122" s="759"/>
      <c r="F122" s="759" t="s">
        <v>284</v>
      </c>
      <c r="G122" s="673"/>
      <c r="H122" s="673"/>
      <c r="I122" s="673"/>
      <c r="J122" s="673"/>
      <c r="K122" s="687"/>
      <c r="L122" s="755"/>
      <c r="N122" s="731"/>
      <c r="O122" s="5"/>
      <c r="P122" s="732"/>
      <c r="Q122" s="733"/>
      <c r="R122" s="732"/>
      <c r="S122" s="733"/>
      <c r="T122" s="734"/>
      <c r="U122" s="735"/>
    </row>
    <row r="123" spans="1:21" s="730" customFormat="1">
      <c r="A123" s="727"/>
      <c r="B123" s="739"/>
      <c r="C123" s="737" t="s">
        <v>282</v>
      </c>
      <c r="D123" s="661" t="s">
        <v>295</v>
      </c>
      <c r="E123" s="759"/>
      <c r="F123" s="759" t="s">
        <v>284</v>
      </c>
      <c r="G123" s="673"/>
      <c r="H123" s="673"/>
      <c r="I123" s="673"/>
      <c r="J123" s="673"/>
      <c r="K123" s="687"/>
      <c r="L123" s="755"/>
      <c r="N123" s="731"/>
      <c r="O123" s="5"/>
      <c r="P123" s="732"/>
      <c r="Q123" s="733"/>
      <c r="R123" s="732"/>
      <c r="S123" s="733"/>
      <c r="T123" s="734"/>
      <c r="U123" s="735"/>
    </row>
    <row r="124" spans="1:21" s="730" customFormat="1">
      <c r="A124" s="727"/>
      <c r="B124" s="739"/>
      <c r="C124" s="737" t="s">
        <v>282</v>
      </c>
      <c r="D124" s="661" t="s">
        <v>296</v>
      </c>
      <c r="E124" s="759"/>
      <c r="F124" s="759" t="s">
        <v>287</v>
      </c>
      <c r="G124" s="673"/>
      <c r="H124" s="673"/>
      <c r="I124" s="673"/>
      <c r="J124" s="673"/>
      <c r="K124" s="687"/>
      <c r="L124" s="755"/>
      <c r="N124" s="731"/>
      <c r="O124" s="5"/>
      <c r="P124" s="732"/>
      <c r="Q124" s="733"/>
      <c r="R124" s="732"/>
      <c r="S124" s="733"/>
      <c r="T124" s="734"/>
      <c r="U124" s="735"/>
    </row>
    <row r="125" spans="1:21" s="730" customFormat="1">
      <c r="A125" s="727"/>
      <c r="B125" s="739"/>
      <c r="C125" s="737" t="s">
        <v>282</v>
      </c>
      <c r="D125" s="661" t="s">
        <v>289</v>
      </c>
      <c r="E125" s="759"/>
      <c r="F125" s="759" t="s">
        <v>287</v>
      </c>
      <c r="G125" s="673"/>
      <c r="H125" s="673"/>
      <c r="I125" s="673"/>
      <c r="J125" s="673"/>
      <c r="K125" s="687"/>
      <c r="L125" s="755"/>
      <c r="N125" s="731"/>
      <c r="O125" s="5"/>
      <c r="P125" s="732"/>
      <c r="Q125" s="733"/>
      <c r="R125" s="732"/>
      <c r="S125" s="733"/>
      <c r="T125" s="734"/>
      <c r="U125" s="735"/>
    </row>
    <row r="126" spans="1:21" s="730" customFormat="1">
      <c r="A126" s="727"/>
      <c r="B126" s="739"/>
      <c r="C126" s="737" t="s">
        <v>282</v>
      </c>
      <c r="D126" s="661" t="s">
        <v>290</v>
      </c>
      <c r="E126" s="759"/>
      <c r="F126" s="759" t="s">
        <v>287</v>
      </c>
      <c r="G126" s="673"/>
      <c r="H126" s="673"/>
      <c r="I126" s="673"/>
      <c r="J126" s="673"/>
      <c r="K126" s="687"/>
      <c r="L126" s="755"/>
      <c r="N126" s="731"/>
      <c r="O126" s="5"/>
      <c r="P126" s="732"/>
      <c r="Q126" s="733"/>
      <c r="R126" s="732"/>
      <c r="S126" s="733"/>
      <c r="T126" s="734"/>
      <c r="U126" s="735"/>
    </row>
    <row r="127" spans="1:21" s="730" customFormat="1">
      <c r="A127" s="727"/>
      <c r="B127" s="739" t="s">
        <v>297</v>
      </c>
      <c r="C127" s="728" t="s">
        <v>298</v>
      </c>
      <c r="E127" s="759"/>
      <c r="F127" s="759"/>
      <c r="G127" s="673"/>
      <c r="H127" s="673"/>
      <c r="I127" s="673"/>
      <c r="J127" s="673"/>
      <c r="K127" s="687"/>
      <c r="L127" s="755"/>
      <c r="N127" s="731"/>
      <c r="O127" s="5"/>
      <c r="P127" s="732"/>
      <c r="Q127" s="733"/>
      <c r="R127" s="732"/>
      <c r="S127" s="733"/>
      <c r="T127" s="734"/>
      <c r="U127" s="735"/>
    </row>
    <row r="128" spans="1:21" s="730" customFormat="1">
      <c r="A128" s="727"/>
      <c r="B128" s="739"/>
      <c r="C128" s="737" t="s">
        <v>282</v>
      </c>
      <c r="D128" s="661" t="s">
        <v>298</v>
      </c>
      <c r="E128" s="759"/>
      <c r="F128" s="759" t="s">
        <v>287</v>
      </c>
      <c r="G128" s="673"/>
      <c r="H128" s="673"/>
      <c r="I128" s="673"/>
      <c r="J128" s="673"/>
      <c r="K128" s="687"/>
      <c r="L128" s="755"/>
      <c r="N128" s="731"/>
      <c r="O128" s="5"/>
      <c r="P128" s="732"/>
      <c r="Q128" s="733"/>
      <c r="R128" s="732"/>
      <c r="S128" s="733"/>
      <c r="T128" s="734"/>
      <c r="U128" s="735"/>
    </row>
    <row r="129" spans="1:21" s="730" customFormat="1">
      <c r="A129" s="727"/>
      <c r="B129" s="739"/>
      <c r="C129" s="737" t="s">
        <v>282</v>
      </c>
      <c r="D129" s="661" t="s">
        <v>299</v>
      </c>
      <c r="E129" s="759"/>
      <c r="F129" s="759" t="s">
        <v>287</v>
      </c>
      <c r="G129" s="673"/>
      <c r="H129" s="673"/>
      <c r="I129" s="673"/>
      <c r="J129" s="673"/>
      <c r="K129" s="687"/>
      <c r="L129" s="755"/>
      <c r="N129" s="731"/>
      <c r="O129" s="5"/>
      <c r="P129" s="732"/>
      <c r="Q129" s="733"/>
      <c r="R129" s="732"/>
      <c r="S129" s="733"/>
      <c r="T129" s="734"/>
      <c r="U129" s="735"/>
    </row>
    <row r="130" spans="1:21" s="730" customFormat="1">
      <c r="A130" s="727"/>
      <c r="B130" s="739"/>
      <c r="C130" s="737" t="s">
        <v>282</v>
      </c>
      <c r="D130" s="661" t="s">
        <v>638</v>
      </c>
      <c r="E130" s="759"/>
      <c r="F130" s="759" t="s">
        <v>287</v>
      </c>
      <c r="G130" s="673"/>
      <c r="H130" s="673"/>
      <c r="I130" s="673"/>
      <c r="J130" s="673"/>
      <c r="K130" s="687"/>
      <c r="L130" s="755"/>
      <c r="N130" s="731"/>
      <c r="O130" s="5"/>
      <c r="P130" s="732"/>
      <c r="Q130" s="733"/>
      <c r="R130" s="732"/>
      <c r="S130" s="733"/>
      <c r="T130" s="734"/>
      <c r="U130" s="735"/>
    </row>
    <row r="131" spans="1:21" s="730" customFormat="1">
      <c r="A131" s="727"/>
      <c r="B131" s="739" t="s">
        <v>300</v>
      </c>
      <c r="C131" s="728" t="s">
        <v>301</v>
      </c>
      <c r="E131" s="759"/>
      <c r="F131" s="759"/>
      <c r="G131" s="673"/>
      <c r="H131" s="673"/>
      <c r="I131" s="673"/>
      <c r="J131" s="673"/>
      <c r="K131" s="687"/>
      <c r="L131" s="755"/>
      <c r="N131" s="731"/>
      <c r="O131" s="5"/>
      <c r="P131" s="732"/>
      <c r="Q131" s="733"/>
      <c r="R131" s="732"/>
      <c r="S131" s="733"/>
      <c r="T131" s="734"/>
      <c r="U131" s="735"/>
    </row>
    <row r="132" spans="1:21" s="730" customFormat="1">
      <c r="A132" s="727"/>
      <c r="B132" s="739"/>
      <c r="C132" s="737" t="s">
        <v>282</v>
      </c>
      <c r="D132" s="661" t="s">
        <v>639</v>
      </c>
      <c r="E132" s="759"/>
      <c r="F132" s="759" t="s">
        <v>284</v>
      </c>
      <c r="G132" s="673" t="s">
        <v>640</v>
      </c>
      <c r="H132" s="673"/>
      <c r="I132" s="673"/>
      <c r="J132" s="673"/>
      <c r="K132" s="687"/>
      <c r="L132" s="755"/>
      <c r="N132" s="731"/>
      <c r="O132" s="5"/>
      <c r="P132" s="732"/>
      <c r="Q132" s="733"/>
      <c r="R132" s="732"/>
      <c r="S132" s="733"/>
      <c r="T132" s="734"/>
      <c r="U132" s="735"/>
    </row>
    <row r="133" spans="1:21" s="730" customFormat="1">
      <c r="A133" s="727"/>
      <c r="B133" s="738"/>
      <c r="C133" s="737" t="s">
        <v>282</v>
      </c>
      <c r="D133" s="661" t="s">
        <v>641</v>
      </c>
      <c r="E133" s="759"/>
      <c r="F133" s="759" t="s">
        <v>284</v>
      </c>
      <c r="G133" s="673" t="s">
        <v>640</v>
      </c>
      <c r="H133" s="673"/>
      <c r="I133" s="673"/>
      <c r="J133" s="673"/>
      <c r="K133" s="687"/>
      <c r="L133" s="755"/>
      <c r="N133" s="731"/>
      <c r="O133" s="5"/>
      <c r="P133" s="732"/>
      <c r="Q133" s="733"/>
      <c r="R133" s="732"/>
      <c r="S133" s="733"/>
      <c r="T133" s="734"/>
      <c r="U133" s="735"/>
    </row>
    <row r="134" spans="1:21" s="730" customFormat="1">
      <c r="A134" s="727">
        <v>3.2</v>
      </c>
      <c r="B134" s="738" t="s">
        <v>304</v>
      </c>
      <c r="D134" s="661"/>
      <c r="E134" s="759"/>
      <c r="F134" s="759"/>
      <c r="G134" s="673"/>
      <c r="H134" s="673"/>
      <c r="I134" s="673"/>
      <c r="J134" s="673"/>
      <c r="K134" s="687"/>
      <c r="L134" s="755"/>
      <c r="N134" s="731"/>
      <c r="O134" s="5"/>
      <c r="P134" s="732"/>
      <c r="Q134" s="733"/>
      <c r="R134" s="732"/>
      <c r="S134" s="733"/>
      <c r="T134" s="734"/>
      <c r="U134" s="735"/>
    </row>
    <row r="135" spans="1:21" s="730" customFormat="1">
      <c r="A135" s="727"/>
      <c r="B135" s="736" t="s">
        <v>305</v>
      </c>
      <c r="C135" s="728" t="s">
        <v>306</v>
      </c>
      <c r="E135" s="759"/>
      <c r="F135" s="759"/>
      <c r="G135" s="673"/>
      <c r="H135" s="673"/>
      <c r="I135" s="673"/>
      <c r="J135" s="673"/>
      <c r="K135" s="687"/>
      <c r="L135" s="755"/>
      <c r="N135" s="731"/>
      <c r="O135" s="5"/>
      <c r="P135" s="732"/>
      <c r="Q135" s="733"/>
      <c r="R135" s="732"/>
      <c r="S135" s="733"/>
      <c r="T135" s="734"/>
      <c r="U135" s="735"/>
    </row>
    <row r="136" spans="1:21" s="730" customFormat="1">
      <c r="A136" s="727"/>
      <c r="B136" s="739"/>
      <c r="C136" s="737" t="s">
        <v>282</v>
      </c>
      <c r="D136" s="661" t="s">
        <v>307</v>
      </c>
      <c r="E136" s="759"/>
      <c r="F136" s="759" t="s">
        <v>104</v>
      </c>
      <c r="G136" s="673"/>
      <c r="H136" s="673"/>
      <c r="I136" s="673"/>
      <c r="J136" s="673"/>
      <c r="K136" s="687"/>
      <c r="L136" s="755"/>
      <c r="N136" s="731"/>
      <c r="O136" s="5"/>
      <c r="P136" s="732"/>
      <c r="Q136" s="733"/>
      <c r="R136" s="732"/>
      <c r="S136" s="733"/>
      <c r="T136" s="734"/>
      <c r="U136" s="735"/>
    </row>
    <row r="137" spans="1:21" s="730" customFormat="1">
      <c r="A137" s="727"/>
      <c r="B137" s="739"/>
      <c r="C137" s="737" t="s">
        <v>282</v>
      </c>
      <c r="D137" s="661" t="s">
        <v>308</v>
      </c>
      <c r="E137" s="759"/>
      <c r="F137" s="759" t="s">
        <v>104</v>
      </c>
      <c r="G137" s="673"/>
      <c r="H137" s="673"/>
      <c r="I137" s="673"/>
      <c r="J137" s="673"/>
      <c r="K137" s="687"/>
      <c r="L137" s="755"/>
      <c r="N137" s="731"/>
      <c r="O137" s="5"/>
      <c r="P137" s="732"/>
      <c r="Q137" s="733"/>
      <c r="R137" s="732"/>
      <c r="S137" s="733"/>
      <c r="T137" s="734"/>
      <c r="U137" s="735"/>
    </row>
    <row r="138" spans="1:21" s="730" customFormat="1">
      <c r="A138" s="727"/>
      <c r="B138" s="739"/>
      <c r="C138" s="737" t="s">
        <v>282</v>
      </c>
      <c r="D138" s="661" t="s">
        <v>309</v>
      </c>
      <c r="E138" s="759"/>
      <c r="F138" s="759" t="s">
        <v>104</v>
      </c>
      <c r="G138" s="673"/>
      <c r="H138" s="673"/>
      <c r="I138" s="673"/>
      <c r="J138" s="673"/>
      <c r="K138" s="687"/>
      <c r="L138" s="755"/>
      <c r="N138" s="731"/>
      <c r="O138" s="5"/>
      <c r="P138" s="732"/>
      <c r="Q138" s="733"/>
      <c r="R138" s="732"/>
      <c r="S138" s="733"/>
      <c r="T138" s="734"/>
      <c r="U138" s="735"/>
    </row>
    <row r="139" spans="1:21" s="730" customFormat="1">
      <c r="A139" s="727"/>
      <c r="B139" s="739"/>
      <c r="C139" s="737" t="s">
        <v>282</v>
      </c>
      <c r="D139" s="661" t="s">
        <v>310</v>
      </c>
      <c r="E139" s="759"/>
      <c r="F139" s="759" t="s">
        <v>104</v>
      </c>
      <c r="G139" s="673"/>
      <c r="H139" s="673"/>
      <c r="I139" s="673"/>
      <c r="J139" s="673"/>
      <c r="K139" s="687"/>
      <c r="L139" s="755"/>
      <c r="N139" s="731"/>
      <c r="O139" s="5"/>
      <c r="P139" s="732"/>
      <c r="Q139" s="733"/>
      <c r="R139" s="732"/>
      <c r="S139" s="733"/>
      <c r="T139" s="734"/>
      <c r="U139" s="735"/>
    </row>
    <row r="140" spans="1:21" s="730" customFormat="1">
      <c r="A140" s="727"/>
      <c r="B140" s="739"/>
      <c r="C140" s="737" t="s">
        <v>282</v>
      </c>
      <c r="D140" s="661" t="s">
        <v>311</v>
      </c>
      <c r="E140" s="759"/>
      <c r="F140" s="759" t="s">
        <v>104</v>
      </c>
      <c r="G140" s="673"/>
      <c r="H140" s="673"/>
      <c r="I140" s="673"/>
      <c r="J140" s="673"/>
      <c r="K140" s="687"/>
      <c r="L140" s="755"/>
      <c r="N140" s="731"/>
      <c r="O140" s="5"/>
      <c r="P140" s="732"/>
      <c r="Q140" s="733"/>
      <c r="R140" s="732"/>
      <c r="S140" s="733"/>
      <c r="T140" s="734"/>
      <c r="U140" s="735"/>
    </row>
    <row r="141" spans="1:21" s="730" customFormat="1">
      <c r="A141" s="727"/>
      <c r="B141" s="736" t="s">
        <v>312</v>
      </c>
      <c r="C141" s="728" t="s">
        <v>306</v>
      </c>
      <c r="E141" s="759"/>
      <c r="F141" s="759"/>
      <c r="G141" s="673"/>
      <c r="H141" s="673"/>
      <c r="I141" s="673"/>
      <c r="J141" s="673"/>
      <c r="K141" s="687"/>
      <c r="L141" s="755"/>
      <c r="N141" s="731"/>
      <c r="O141" s="5"/>
      <c r="P141" s="732"/>
      <c r="Q141" s="733"/>
      <c r="R141" s="732"/>
      <c r="S141" s="733"/>
      <c r="T141" s="734"/>
      <c r="U141" s="735"/>
    </row>
    <row r="142" spans="1:21" s="730" customFormat="1">
      <c r="A142" s="727"/>
      <c r="B142" s="739"/>
      <c r="C142" s="737" t="s">
        <v>282</v>
      </c>
      <c r="D142" s="661" t="s">
        <v>642</v>
      </c>
      <c r="E142" s="759"/>
      <c r="F142" s="759" t="s">
        <v>104</v>
      </c>
      <c r="G142" s="673"/>
      <c r="H142" s="673"/>
      <c r="I142" s="673"/>
      <c r="J142" s="673"/>
      <c r="K142" s="687"/>
      <c r="L142" s="755"/>
      <c r="N142" s="731"/>
      <c r="O142" s="5"/>
      <c r="P142" s="732"/>
      <c r="Q142" s="733"/>
      <c r="R142" s="732"/>
      <c r="S142" s="733"/>
      <c r="T142" s="734"/>
      <c r="U142" s="735"/>
    </row>
    <row r="143" spans="1:21" s="730" customFormat="1">
      <c r="A143" s="727">
        <v>3.3</v>
      </c>
      <c r="B143" s="738" t="s">
        <v>315</v>
      </c>
      <c r="D143" s="661"/>
      <c r="E143" s="759"/>
      <c r="F143" s="759"/>
      <c r="G143" s="673"/>
      <c r="H143" s="673"/>
      <c r="I143" s="673"/>
      <c r="J143" s="673"/>
      <c r="K143" s="687"/>
      <c r="L143" s="755"/>
      <c r="N143" s="731"/>
      <c r="O143" s="5"/>
      <c r="P143" s="732"/>
      <c r="Q143" s="733"/>
      <c r="R143" s="732"/>
      <c r="S143" s="733"/>
      <c r="T143" s="734"/>
      <c r="U143" s="735"/>
    </row>
    <row r="144" spans="1:21" s="730" customFormat="1">
      <c r="A144" s="727"/>
      <c r="B144" s="736" t="s">
        <v>316</v>
      </c>
      <c r="C144" s="728" t="s">
        <v>317</v>
      </c>
      <c r="E144" s="759"/>
      <c r="F144" s="759"/>
      <c r="G144" s="673"/>
      <c r="H144" s="673"/>
      <c r="I144" s="673"/>
      <c r="J144" s="673"/>
      <c r="K144" s="687"/>
      <c r="L144" s="755"/>
      <c r="N144" s="731"/>
      <c r="O144" s="5"/>
      <c r="P144" s="732"/>
      <c r="Q144" s="733"/>
      <c r="R144" s="732"/>
      <c r="S144" s="733"/>
      <c r="T144" s="734"/>
      <c r="U144" s="735"/>
    </row>
    <row r="145" spans="1:21" s="730" customFormat="1">
      <c r="A145" s="727"/>
      <c r="B145" s="736"/>
      <c r="C145" s="737" t="s">
        <v>282</v>
      </c>
      <c r="D145" s="661" t="s">
        <v>318</v>
      </c>
      <c r="E145" s="759"/>
      <c r="F145" s="759" t="s">
        <v>104</v>
      </c>
      <c r="G145" s="673"/>
      <c r="H145" s="673"/>
      <c r="I145" s="673"/>
      <c r="J145" s="673"/>
      <c r="K145" s="687"/>
      <c r="L145" s="755"/>
      <c r="N145" s="731"/>
      <c r="O145" s="5"/>
      <c r="P145" s="732"/>
      <c r="Q145" s="733"/>
      <c r="R145" s="732"/>
      <c r="S145" s="733"/>
      <c r="T145" s="734"/>
      <c r="U145" s="735"/>
    </row>
    <row r="146" spans="1:21" s="730" customFormat="1">
      <c r="A146" s="727"/>
      <c r="B146" s="736"/>
      <c r="C146" s="737" t="s">
        <v>282</v>
      </c>
      <c r="D146" s="661" t="s">
        <v>319</v>
      </c>
      <c r="E146" s="759"/>
      <c r="F146" s="759" t="s">
        <v>104</v>
      </c>
      <c r="G146" s="673"/>
      <c r="H146" s="673"/>
      <c r="I146" s="673"/>
      <c r="J146" s="673"/>
      <c r="K146" s="687"/>
      <c r="L146" s="755"/>
      <c r="N146" s="731"/>
      <c r="O146" s="5"/>
      <c r="P146" s="732"/>
      <c r="Q146" s="733"/>
      <c r="R146" s="732"/>
      <c r="S146" s="733"/>
      <c r="T146" s="734"/>
      <c r="U146" s="735"/>
    </row>
    <row r="147" spans="1:21" s="730" customFormat="1">
      <c r="A147" s="727"/>
      <c r="B147" s="736" t="s">
        <v>320</v>
      </c>
      <c r="C147" s="728" t="s">
        <v>321</v>
      </c>
      <c r="E147" s="759"/>
      <c r="F147" s="759"/>
      <c r="G147" s="673"/>
      <c r="H147" s="673"/>
      <c r="I147" s="673"/>
      <c r="J147" s="673"/>
      <c r="K147" s="687"/>
      <c r="L147" s="755"/>
      <c r="N147" s="731"/>
      <c r="O147" s="5"/>
      <c r="P147" s="732"/>
      <c r="Q147" s="733"/>
      <c r="R147" s="732"/>
      <c r="S147" s="733"/>
      <c r="T147" s="734"/>
      <c r="U147" s="735"/>
    </row>
    <row r="148" spans="1:21" s="730" customFormat="1">
      <c r="A148" s="727"/>
      <c r="B148" s="736"/>
      <c r="C148" s="737" t="s">
        <v>282</v>
      </c>
      <c r="D148" s="661" t="s">
        <v>322</v>
      </c>
      <c r="E148" s="759"/>
      <c r="F148" s="759" t="s">
        <v>104</v>
      </c>
      <c r="G148" s="673"/>
      <c r="H148" s="673"/>
      <c r="I148" s="673"/>
      <c r="J148" s="673"/>
      <c r="K148" s="687"/>
      <c r="L148" s="755"/>
      <c r="N148" s="731"/>
      <c r="O148" s="5"/>
      <c r="P148" s="732"/>
      <c r="Q148" s="733"/>
      <c r="R148" s="732"/>
      <c r="S148" s="733"/>
      <c r="T148" s="734"/>
      <c r="U148" s="735"/>
    </row>
    <row r="149" spans="1:21" s="730" customFormat="1">
      <c r="A149" s="727"/>
      <c r="B149" s="736"/>
      <c r="C149" s="737" t="s">
        <v>282</v>
      </c>
      <c r="D149" s="661" t="s">
        <v>323</v>
      </c>
      <c r="E149" s="759"/>
      <c r="F149" s="759" t="s">
        <v>104</v>
      </c>
      <c r="G149" s="673"/>
      <c r="H149" s="673"/>
      <c r="I149" s="673"/>
      <c r="J149" s="673"/>
      <c r="K149" s="687"/>
      <c r="L149" s="755"/>
      <c r="N149" s="731"/>
      <c r="O149" s="5"/>
      <c r="P149" s="732"/>
      <c r="Q149" s="733"/>
      <c r="R149" s="732"/>
      <c r="S149" s="733"/>
      <c r="T149" s="734"/>
      <c r="U149" s="735"/>
    </row>
    <row r="150" spans="1:21" s="730" customFormat="1">
      <c r="A150" s="727"/>
      <c r="B150" s="736" t="s">
        <v>324</v>
      </c>
      <c r="C150" s="728" t="s">
        <v>325</v>
      </c>
      <c r="E150" s="759"/>
      <c r="F150" s="759"/>
      <c r="G150" s="673"/>
      <c r="H150" s="673"/>
      <c r="I150" s="673"/>
      <c r="J150" s="673"/>
      <c r="K150" s="687"/>
      <c r="L150" s="755"/>
      <c r="N150" s="731"/>
      <c r="O150" s="5"/>
      <c r="P150" s="732"/>
      <c r="Q150" s="733"/>
      <c r="R150" s="732"/>
      <c r="S150" s="733"/>
      <c r="T150" s="734"/>
      <c r="U150" s="735"/>
    </row>
    <row r="151" spans="1:21" s="730" customFormat="1">
      <c r="A151" s="727"/>
      <c r="B151" s="736"/>
      <c r="C151" s="737" t="s">
        <v>282</v>
      </c>
      <c r="D151" s="661" t="s">
        <v>326</v>
      </c>
      <c r="E151" s="759"/>
      <c r="F151" s="759" t="s">
        <v>104</v>
      </c>
      <c r="G151" s="673"/>
      <c r="H151" s="673"/>
      <c r="I151" s="673"/>
      <c r="J151" s="673"/>
      <c r="K151" s="687"/>
      <c r="L151" s="755"/>
      <c r="N151" s="731"/>
      <c r="O151" s="5"/>
      <c r="P151" s="732"/>
      <c r="Q151" s="733"/>
      <c r="R151" s="732"/>
      <c r="S151" s="733"/>
      <c r="T151" s="734"/>
      <c r="U151" s="735"/>
    </row>
    <row r="152" spans="1:21" s="730" customFormat="1">
      <c r="A152" s="727"/>
      <c r="B152" s="736" t="s">
        <v>327</v>
      </c>
      <c r="C152" s="728" t="s">
        <v>328</v>
      </c>
      <c r="E152" s="759"/>
      <c r="F152" s="759"/>
      <c r="G152" s="673"/>
      <c r="H152" s="673"/>
      <c r="I152" s="673"/>
      <c r="J152" s="673"/>
      <c r="K152" s="687"/>
      <c r="L152" s="755"/>
      <c r="N152" s="731"/>
      <c r="O152" s="5"/>
      <c r="P152" s="732"/>
      <c r="Q152" s="733"/>
      <c r="R152" s="732"/>
      <c r="S152" s="733"/>
      <c r="T152" s="734"/>
      <c r="U152" s="735"/>
    </row>
    <row r="153" spans="1:21" s="730" customFormat="1">
      <c r="A153" s="727"/>
      <c r="B153" s="736"/>
      <c r="C153" s="737" t="s">
        <v>282</v>
      </c>
      <c r="D153" s="661" t="s">
        <v>329</v>
      </c>
      <c r="E153" s="759"/>
      <c r="F153" s="759" t="s">
        <v>104</v>
      </c>
      <c r="G153" s="673"/>
      <c r="H153" s="673"/>
      <c r="I153" s="673"/>
      <c r="J153" s="673"/>
      <c r="K153" s="687"/>
      <c r="L153" s="755"/>
      <c r="N153" s="731"/>
      <c r="O153" s="5"/>
      <c r="P153" s="732"/>
      <c r="Q153" s="733"/>
      <c r="R153" s="732"/>
      <c r="S153" s="733"/>
      <c r="T153" s="734"/>
      <c r="U153" s="735"/>
    </row>
    <row r="154" spans="1:21" s="730" customFormat="1">
      <c r="A154" s="727"/>
      <c r="B154" s="736"/>
      <c r="C154" s="737" t="s">
        <v>282</v>
      </c>
      <c r="D154" s="661" t="s">
        <v>330</v>
      </c>
      <c r="E154" s="759"/>
      <c r="F154" s="759" t="s">
        <v>104</v>
      </c>
      <c r="G154" s="673"/>
      <c r="H154" s="673"/>
      <c r="I154" s="673"/>
      <c r="J154" s="673"/>
      <c r="K154" s="687"/>
      <c r="L154" s="755"/>
      <c r="N154" s="731"/>
      <c r="O154" s="5"/>
      <c r="P154" s="732"/>
      <c r="Q154" s="733"/>
      <c r="R154" s="732"/>
      <c r="S154" s="733"/>
      <c r="T154" s="734"/>
      <c r="U154" s="735"/>
    </row>
    <row r="155" spans="1:21" s="730" customFormat="1">
      <c r="A155" s="727"/>
      <c r="B155" s="736" t="s">
        <v>331</v>
      </c>
      <c r="C155" s="728" t="s">
        <v>332</v>
      </c>
      <c r="E155" s="759"/>
      <c r="F155" s="759"/>
      <c r="G155" s="673"/>
      <c r="H155" s="673"/>
      <c r="I155" s="673"/>
      <c r="J155" s="673"/>
      <c r="K155" s="687"/>
      <c r="L155" s="755"/>
      <c r="N155" s="731"/>
      <c r="O155" s="5"/>
      <c r="P155" s="732"/>
      <c r="Q155" s="733"/>
      <c r="R155" s="732"/>
      <c r="S155" s="733"/>
      <c r="T155" s="734"/>
      <c r="U155" s="735"/>
    </row>
    <row r="156" spans="1:21" s="730" customFormat="1">
      <c r="A156" s="727"/>
      <c r="B156" s="736"/>
      <c r="C156" s="737" t="s">
        <v>282</v>
      </c>
      <c r="D156" s="661" t="s">
        <v>318</v>
      </c>
      <c r="E156" s="759"/>
      <c r="F156" s="759" t="s">
        <v>104</v>
      </c>
      <c r="G156" s="673"/>
      <c r="H156" s="673"/>
      <c r="I156" s="673"/>
      <c r="J156" s="673"/>
      <c r="K156" s="687"/>
      <c r="L156" s="755"/>
      <c r="N156" s="731"/>
      <c r="O156" s="5"/>
      <c r="P156" s="732"/>
      <c r="Q156" s="733"/>
      <c r="R156" s="732"/>
      <c r="S156" s="733"/>
      <c r="T156" s="734"/>
      <c r="U156" s="735"/>
    </row>
    <row r="157" spans="1:21" s="730" customFormat="1">
      <c r="A157" s="727"/>
      <c r="B157" s="736"/>
      <c r="C157" s="737" t="s">
        <v>282</v>
      </c>
      <c r="D157" s="661" t="s">
        <v>319</v>
      </c>
      <c r="E157" s="759"/>
      <c r="F157" s="759" t="s">
        <v>104</v>
      </c>
      <c r="G157" s="673"/>
      <c r="H157" s="673"/>
      <c r="I157" s="673"/>
      <c r="J157" s="673"/>
      <c r="K157" s="687"/>
      <c r="L157" s="755"/>
      <c r="N157" s="731"/>
      <c r="O157" s="5"/>
      <c r="P157" s="732"/>
      <c r="Q157" s="733"/>
      <c r="R157" s="732"/>
      <c r="S157" s="733"/>
      <c r="T157" s="734"/>
      <c r="U157" s="735"/>
    </row>
    <row r="158" spans="1:21" s="730" customFormat="1">
      <c r="A158" s="727"/>
      <c r="B158" s="736" t="s">
        <v>333</v>
      </c>
      <c r="C158" s="728" t="s">
        <v>334</v>
      </c>
      <c r="D158" s="728"/>
      <c r="E158" s="759"/>
      <c r="F158" s="759"/>
      <c r="G158" s="673"/>
      <c r="H158" s="673"/>
      <c r="I158" s="673"/>
      <c r="J158" s="673"/>
      <c r="K158" s="687"/>
      <c r="L158" s="755"/>
      <c r="N158" s="731"/>
      <c r="O158" s="5"/>
      <c r="P158" s="732"/>
      <c r="Q158" s="733"/>
      <c r="R158" s="732"/>
      <c r="S158" s="733"/>
      <c r="T158" s="734"/>
      <c r="U158" s="735"/>
    </row>
    <row r="159" spans="1:21" s="730" customFormat="1">
      <c r="A159" s="727"/>
      <c r="B159" s="736"/>
      <c r="C159" s="737" t="s">
        <v>282</v>
      </c>
      <c r="D159" s="661" t="s">
        <v>335</v>
      </c>
      <c r="E159" s="759"/>
      <c r="F159" s="759" t="s">
        <v>104</v>
      </c>
      <c r="G159" s="673"/>
      <c r="H159" s="673"/>
      <c r="I159" s="673"/>
      <c r="J159" s="673"/>
      <c r="K159" s="687"/>
      <c r="L159" s="755"/>
      <c r="N159" s="731"/>
      <c r="O159" s="5"/>
      <c r="P159" s="732"/>
      <c r="Q159" s="733"/>
      <c r="R159" s="732"/>
      <c r="S159" s="733"/>
      <c r="T159" s="734"/>
      <c r="U159" s="735"/>
    </row>
    <row r="160" spans="1:21" s="730" customFormat="1">
      <c r="A160" s="727"/>
      <c r="B160" s="736"/>
      <c r="C160" s="737" t="s">
        <v>282</v>
      </c>
      <c r="D160" s="661" t="s">
        <v>336</v>
      </c>
      <c r="E160" s="759"/>
      <c r="F160" s="759" t="s">
        <v>104</v>
      </c>
      <c r="G160" s="673"/>
      <c r="H160" s="673"/>
      <c r="I160" s="673"/>
      <c r="J160" s="673"/>
      <c r="K160" s="687"/>
      <c r="L160" s="755"/>
      <c r="N160" s="731"/>
      <c r="O160" s="5"/>
      <c r="P160" s="732"/>
      <c r="Q160" s="733"/>
      <c r="R160" s="732"/>
      <c r="S160" s="733"/>
      <c r="T160" s="734"/>
      <c r="U160" s="735"/>
    </row>
    <row r="161" spans="1:21" s="730" customFormat="1">
      <c r="A161" s="727"/>
      <c r="B161" s="736" t="s">
        <v>337</v>
      </c>
      <c r="C161" s="728" t="s">
        <v>338</v>
      </c>
      <c r="D161" s="728"/>
      <c r="E161" s="759"/>
      <c r="F161" s="759" t="s">
        <v>284</v>
      </c>
      <c r="G161" s="673"/>
      <c r="H161" s="673"/>
      <c r="I161" s="673"/>
      <c r="J161" s="673"/>
      <c r="K161" s="687"/>
      <c r="L161" s="755"/>
      <c r="N161" s="731"/>
      <c r="O161" s="5"/>
      <c r="P161" s="732"/>
      <c r="Q161" s="733"/>
      <c r="R161" s="732"/>
      <c r="S161" s="733"/>
      <c r="T161" s="734"/>
      <c r="U161" s="735"/>
    </row>
    <row r="162" spans="1:21" s="730" customFormat="1">
      <c r="A162" s="727"/>
      <c r="B162" s="736" t="s">
        <v>643</v>
      </c>
      <c r="C162" s="728" t="s">
        <v>339</v>
      </c>
      <c r="D162" s="728"/>
      <c r="E162" s="759"/>
      <c r="F162" s="759" t="s">
        <v>340</v>
      </c>
      <c r="G162" s="673"/>
      <c r="H162" s="673"/>
      <c r="I162" s="673"/>
      <c r="J162" s="673"/>
      <c r="K162" s="687"/>
      <c r="L162" s="755"/>
      <c r="N162" s="731"/>
      <c r="O162" s="5"/>
      <c r="P162" s="732"/>
      <c r="Q162" s="733"/>
      <c r="R162" s="732"/>
      <c r="S162" s="733"/>
      <c r="T162" s="734"/>
      <c r="U162" s="735"/>
    </row>
    <row r="163" spans="1:21" s="730" customFormat="1">
      <c r="A163" s="727">
        <v>3.4</v>
      </c>
      <c r="B163" s="738" t="s">
        <v>644</v>
      </c>
      <c r="D163" s="661"/>
      <c r="E163" s="759"/>
      <c r="F163" s="759"/>
      <c r="G163" s="673"/>
      <c r="H163" s="673"/>
      <c r="I163" s="673"/>
      <c r="J163" s="673"/>
      <c r="K163" s="687"/>
      <c r="L163" s="755"/>
      <c r="N163" s="731"/>
      <c r="O163" s="5"/>
      <c r="P163" s="732"/>
      <c r="Q163" s="733"/>
      <c r="R163" s="732"/>
      <c r="S163" s="733"/>
      <c r="T163" s="734"/>
      <c r="U163" s="735"/>
    </row>
    <row r="164" spans="1:21" s="730" customFormat="1">
      <c r="A164" s="727"/>
      <c r="B164" s="775" t="s">
        <v>342</v>
      </c>
      <c r="C164" s="736" t="s">
        <v>341</v>
      </c>
      <c r="D164" s="661"/>
      <c r="E164" s="759"/>
      <c r="F164" s="759"/>
      <c r="G164" s="673"/>
      <c r="H164" s="673"/>
      <c r="I164" s="673"/>
      <c r="J164" s="673"/>
      <c r="K164" s="687"/>
      <c r="L164" s="755"/>
      <c r="N164" s="731"/>
      <c r="O164" s="5"/>
      <c r="P164" s="732"/>
      <c r="Q164" s="733"/>
      <c r="R164" s="732"/>
      <c r="S164" s="733"/>
      <c r="T164" s="734"/>
      <c r="U164" s="735"/>
    </row>
    <row r="165" spans="1:21" s="730" customFormat="1">
      <c r="A165" s="727"/>
      <c r="B165" s="739"/>
      <c r="C165" s="779" t="s">
        <v>645</v>
      </c>
      <c r="D165" s="661" t="s">
        <v>646</v>
      </c>
      <c r="E165" s="759"/>
      <c r="F165" s="759" t="s">
        <v>284</v>
      </c>
      <c r="G165" s="673"/>
      <c r="H165" s="673"/>
      <c r="I165" s="673"/>
      <c r="J165" s="673"/>
      <c r="K165" s="687"/>
      <c r="L165" s="755"/>
      <c r="N165" s="731"/>
      <c r="O165" s="5"/>
      <c r="P165" s="732"/>
      <c r="Q165" s="733"/>
      <c r="R165" s="732"/>
      <c r="S165" s="733"/>
      <c r="T165" s="734"/>
      <c r="U165" s="735"/>
    </row>
    <row r="166" spans="1:21" s="730" customFormat="1">
      <c r="A166" s="727"/>
      <c r="B166" s="739"/>
      <c r="C166" s="779" t="s">
        <v>647</v>
      </c>
      <c r="D166" s="661" t="s">
        <v>648</v>
      </c>
      <c r="E166" s="759"/>
      <c r="F166" s="759" t="s">
        <v>284</v>
      </c>
      <c r="G166" s="673"/>
      <c r="H166" s="673"/>
      <c r="I166" s="673"/>
      <c r="J166" s="673"/>
      <c r="K166" s="687"/>
      <c r="L166" s="755"/>
      <c r="N166" s="731"/>
      <c r="O166" s="5"/>
      <c r="P166" s="732"/>
      <c r="Q166" s="733"/>
      <c r="R166" s="732"/>
      <c r="S166" s="733"/>
      <c r="T166" s="734"/>
      <c r="U166" s="735"/>
    </row>
    <row r="167" spans="1:21" s="730" customFormat="1">
      <c r="A167" s="727"/>
      <c r="B167" s="739"/>
      <c r="C167" s="779" t="s">
        <v>649</v>
      </c>
      <c r="D167" s="661" t="s">
        <v>650</v>
      </c>
      <c r="E167" s="759"/>
      <c r="F167" s="759" t="s">
        <v>284</v>
      </c>
      <c r="G167" s="673"/>
      <c r="H167" s="673"/>
      <c r="I167" s="673"/>
      <c r="J167" s="673"/>
      <c r="K167" s="687"/>
      <c r="L167" s="755"/>
      <c r="N167" s="731"/>
      <c r="O167" s="5"/>
      <c r="P167" s="732"/>
      <c r="Q167" s="733"/>
      <c r="R167" s="732"/>
      <c r="S167" s="733"/>
      <c r="T167" s="734"/>
      <c r="U167" s="735"/>
    </row>
    <row r="168" spans="1:21" s="730" customFormat="1">
      <c r="A168" s="727"/>
      <c r="B168" s="739"/>
      <c r="C168" s="779" t="s">
        <v>651</v>
      </c>
      <c r="D168" s="661" t="s">
        <v>652</v>
      </c>
      <c r="E168" s="759"/>
      <c r="F168" s="759" t="s">
        <v>284</v>
      </c>
      <c r="G168" s="673"/>
      <c r="H168" s="673"/>
      <c r="I168" s="673"/>
      <c r="J168" s="673"/>
      <c r="K168" s="687"/>
      <c r="L168" s="755"/>
      <c r="N168" s="731"/>
      <c r="O168" s="5"/>
      <c r="P168" s="732"/>
      <c r="Q168" s="733"/>
      <c r="R168" s="732"/>
      <c r="S168" s="733"/>
      <c r="T168" s="734"/>
      <c r="U168" s="735"/>
    </row>
    <row r="169" spans="1:21" s="730" customFormat="1">
      <c r="A169" s="727"/>
      <c r="B169" s="739"/>
      <c r="C169" s="779" t="s">
        <v>653</v>
      </c>
      <c r="D169" s="661" t="s">
        <v>654</v>
      </c>
      <c r="E169" s="759"/>
      <c r="F169" s="759" t="s">
        <v>284</v>
      </c>
      <c r="G169" s="673"/>
      <c r="H169" s="673"/>
      <c r="I169" s="673"/>
      <c r="J169" s="673"/>
      <c r="K169" s="687"/>
      <c r="L169" s="755"/>
      <c r="N169" s="731"/>
      <c r="O169" s="5"/>
      <c r="P169" s="732"/>
      <c r="Q169" s="733"/>
      <c r="R169" s="732"/>
      <c r="S169" s="733"/>
      <c r="T169" s="734"/>
      <c r="U169" s="735"/>
    </row>
    <row r="170" spans="1:21" s="730" customFormat="1" ht="43.5">
      <c r="A170" s="727"/>
      <c r="B170" s="739"/>
      <c r="C170" s="779" t="s">
        <v>655</v>
      </c>
      <c r="D170" s="661" t="s">
        <v>656</v>
      </c>
      <c r="E170" s="759"/>
      <c r="F170" s="759" t="s">
        <v>284</v>
      </c>
      <c r="G170" s="673"/>
      <c r="H170" s="673"/>
      <c r="I170" s="673"/>
      <c r="J170" s="673"/>
      <c r="K170" s="687"/>
      <c r="L170" s="755"/>
      <c r="N170" s="731"/>
      <c r="O170" s="5"/>
      <c r="P170" s="732"/>
      <c r="Q170" s="733"/>
      <c r="R170" s="732"/>
      <c r="S170" s="733"/>
      <c r="T170" s="734"/>
      <c r="U170" s="735"/>
    </row>
    <row r="171" spans="1:21" s="730" customFormat="1" ht="43.5">
      <c r="A171" s="727"/>
      <c r="B171" s="739"/>
      <c r="C171" s="779" t="s">
        <v>657</v>
      </c>
      <c r="D171" s="661" t="s">
        <v>357</v>
      </c>
      <c r="E171" s="759"/>
      <c r="F171" s="759" t="s">
        <v>284</v>
      </c>
      <c r="G171" s="673"/>
      <c r="H171" s="673"/>
      <c r="I171" s="673"/>
      <c r="J171" s="673"/>
      <c r="K171" s="687"/>
      <c r="L171" s="755"/>
      <c r="N171" s="731"/>
      <c r="O171" s="5"/>
      <c r="P171" s="732"/>
      <c r="Q171" s="733"/>
      <c r="R171" s="732"/>
      <c r="S171" s="733"/>
      <c r="T171" s="734"/>
      <c r="U171" s="735"/>
    </row>
    <row r="172" spans="1:21" s="730" customFormat="1">
      <c r="A172" s="727"/>
      <c r="B172" s="739" t="s">
        <v>346</v>
      </c>
      <c r="C172" s="738" t="s">
        <v>358</v>
      </c>
      <c r="D172" s="661"/>
      <c r="E172" s="759"/>
      <c r="F172" s="759"/>
      <c r="G172" s="673"/>
      <c r="H172" s="673"/>
      <c r="I172" s="673"/>
      <c r="J172" s="673"/>
      <c r="K172" s="687"/>
      <c r="L172" s="755"/>
      <c r="N172" s="731"/>
      <c r="O172" s="5"/>
      <c r="P172" s="732"/>
      <c r="Q172" s="733"/>
      <c r="R172" s="732"/>
      <c r="S172" s="733"/>
      <c r="T172" s="734"/>
      <c r="U172" s="735"/>
    </row>
    <row r="173" spans="1:21" s="730" customFormat="1">
      <c r="A173" s="727"/>
      <c r="B173" s="739"/>
      <c r="C173" s="779" t="s">
        <v>658</v>
      </c>
      <c r="D173" s="661" t="s">
        <v>360</v>
      </c>
      <c r="E173" s="759"/>
      <c r="F173" s="759" t="s">
        <v>284</v>
      </c>
      <c r="G173" s="673"/>
      <c r="H173" s="673"/>
      <c r="I173" s="673"/>
      <c r="J173" s="673"/>
      <c r="K173" s="687"/>
      <c r="L173" s="755"/>
      <c r="N173" s="731"/>
      <c r="O173" s="5"/>
      <c r="P173" s="732"/>
      <c r="Q173" s="733"/>
      <c r="R173" s="732"/>
      <c r="S173" s="733"/>
      <c r="T173" s="734"/>
      <c r="U173" s="735"/>
    </row>
    <row r="174" spans="1:21" s="730" customFormat="1">
      <c r="A174" s="727"/>
      <c r="B174" s="739"/>
      <c r="C174" s="779" t="s">
        <v>659</v>
      </c>
      <c r="D174" s="661" t="s">
        <v>362</v>
      </c>
      <c r="E174" s="759"/>
      <c r="F174" s="759" t="s">
        <v>284</v>
      </c>
      <c r="G174" s="673"/>
      <c r="H174" s="673"/>
      <c r="I174" s="673"/>
      <c r="J174" s="673"/>
      <c r="K174" s="687"/>
      <c r="L174" s="755"/>
      <c r="N174" s="731"/>
      <c r="O174" s="5"/>
      <c r="P174" s="732"/>
      <c r="Q174" s="733"/>
      <c r="R174" s="732"/>
      <c r="S174" s="733"/>
      <c r="T174" s="734"/>
      <c r="U174" s="735"/>
    </row>
    <row r="175" spans="1:21" s="730" customFormat="1" ht="43.5">
      <c r="A175" s="727"/>
      <c r="B175" s="739"/>
      <c r="C175" s="779" t="s">
        <v>660</v>
      </c>
      <c r="D175" s="661" t="s">
        <v>364</v>
      </c>
      <c r="E175" s="759"/>
      <c r="F175" s="759" t="s">
        <v>284</v>
      </c>
      <c r="G175" s="673"/>
      <c r="H175" s="673"/>
      <c r="I175" s="673"/>
      <c r="J175" s="673"/>
      <c r="K175" s="687"/>
      <c r="L175" s="755"/>
      <c r="N175" s="731"/>
      <c r="O175" s="5"/>
      <c r="P175" s="732"/>
      <c r="Q175" s="733"/>
      <c r="R175" s="732"/>
      <c r="S175" s="733"/>
      <c r="T175" s="734"/>
      <c r="U175" s="735"/>
    </row>
    <row r="176" spans="1:21" s="730" customFormat="1">
      <c r="A176" s="727">
        <v>3.5</v>
      </c>
      <c r="B176" s="739" t="s">
        <v>661</v>
      </c>
      <c r="C176" s="737"/>
      <c r="D176" s="661"/>
      <c r="E176" s="759"/>
      <c r="F176" s="759"/>
      <c r="G176" s="673"/>
      <c r="H176" s="673"/>
      <c r="I176" s="673"/>
      <c r="J176" s="673"/>
      <c r="K176" s="687"/>
      <c r="L176" s="755"/>
      <c r="N176" s="731"/>
      <c r="O176" s="5"/>
      <c r="P176" s="732"/>
      <c r="Q176" s="733"/>
      <c r="R176" s="732"/>
      <c r="S176" s="733"/>
      <c r="T176" s="734"/>
      <c r="U176" s="735"/>
    </row>
    <row r="177" spans="1:21" s="730" customFormat="1">
      <c r="A177" s="727"/>
      <c r="B177" s="739" t="s">
        <v>359</v>
      </c>
      <c r="C177" s="738" t="s">
        <v>661</v>
      </c>
      <c r="D177" s="661"/>
      <c r="E177" s="759"/>
      <c r="F177" s="759"/>
      <c r="G177" s="673"/>
      <c r="H177" s="673"/>
      <c r="I177" s="673"/>
      <c r="J177" s="673"/>
      <c r="K177" s="687"/>
      <c r="L177" s="755"/>
      <c r="N177" s="731"/>
      <c r="O177" s="5"/>
      <c r="P177" s="732"/>
      <c r="Q177" s="733"/>
      <c r="R177" s="732"/>
      <c r="S177" s="733"/>
      <c r="T177" s="734"/>
      <c r="U177" s="735"/>
    </row>
    <row r="178" spans="1:21" s="730" customFormat="1">
      <c r="A178" s="727"/>
      <c r="B178" s="739"/>
      <c r="C178" s="779" t="s">
        <v>662</v>
      </c>
      <c r="D178" s="661" t="s">
        <v>367</v>
      </c>
      <c r="E178" s="759"/>
      <c r="F178" s="759" t="s">
        <v>171</v>
      </c>
      <c r="G178" s="673"/>
      <c r="H178" s="673"/>
      <c r="I178" s="673"/>
      <c r="J178" s="673"/>
      <c r="K178" s="687"/>
      <c r="L178" s="755"/>
      <c r="N178" s="731"/>
      <c r="O178" s="5"/>
      <c r="P178" s="732"/>
      <c r="Q178" s="733"/>
      <c r="R178" s="732"/>
      <c r="S178" s="733"/>
      <c r="T178" s="734"/>
      <c r="U178" s="735"/>
    </row>
    <row r="179" spans="1:21" s="730" customFormat="1">
      <c r="A179" s="727"/>
      <c r="B179" s="739"/>
      <c r="C179" s="779" t="s">
        <v>663</v>
      </c>
      <c r="D179" s="661" t="s">
        <v>369</v>
      </c>
      <c r="E179" s="759"/>
      <c r="F179" s="759" t="s">
        <v>284</v>
      </c>
      <c r="G179" s="673"/>
      <c r="H179" s="673"/>
      <c r="I179" s="673"/>
      <c r="J179" s="673"/>
      <c r="K179" s="687"/>
      <c r="L179" s="755"/>
      <c r="N179" s="731"/>
      <c r="O179" s="5"/>
      <c r="P179" s="732"/>
      <c r="Q179" s="733"/>
      <c r="R179" s="732"/>
      <c r="S179" s="733"/>
      <c r="T179" s="734"/>
      <c r="U179" s="735"/>
    </row>
    <row r="180" spans="1:21" s="730" customFormat="1">
      <c r="A180" s="727"/>
      <c r="B180" s="739"/>
      <c r="C180" s="779" t="s">
        <v>664</v>
      </c>
      <c r="D180" s="661" t="s">
        <v>371</v>
      </c>
      <c r="E180" s="759"/>
      <c r="F180" s="759" t="s">
        <v>340</v>
      </c>
      <c r="G180" s="673"/>
      <c r="H180" s="673"/>
      <c r="I180" s="673"/>
      <c r="J180" s="673"/>
      <c r="K180" s="687"/>
      <c r="L180" s="755"/>
      <c r="N180" s="731"/>
      <c r="O180" s="5"/>
      <c r="P180" s="732"/>
      <c r="Q180" s="733"/>
      <c r="R180" s="732"/>
      <c r="S180" s="733"/>
      <c r="T180" s="734"/>
      <c r="U180" s="735"/>
    </row>
    <row r="181" spans="1:21" s="730" customFormat="1" ht="43.5">
      <c r="A181" s="727"/>
      <c r="B181" s="739"/>
      <c r="C181" s="779" t="s">
        <v>665</v>
      </c>
      <c r="D181" s="661" t="s">
        <v>666</v>
      </c>
      <c r="E181" s="759"/>
      <c r="F181" s="759" t="s">
        <v>667</v>
      </c>
      <c r="G181" s="673"/>
      <c r="H181" s="673"/>
      <c r="I181" s="673"/>
      <c r="J181" s="673"/>
      <c r="K181" s="687"/>
      <c r="L181" s="755"/>
      <c r="N181" s="731"/>
      <c r="O181" s="5"/>
      <c r="P181" s="732"/>
      <c r="Q181" s="733"/>
      <c r="R181" s="732"/>
      <c r="S181" s="733"/>
      <c r="T181" s="734"/>
      <c r="U181" s="735"/>
    </row>
    <row r="182" spans="1:21" s="730" customFormat="1">
      <c r="A182" s="727"/>
      <c r="B182" s="739"/>
      <c r="C182" s="779" t="s">
        <v>668</v>
      </c>
      <c r="D182" s="661" t="s">
        <v>669</v>
      </c>
      <c r="E182" s="759"/>
      <c r="F182" s="759" t="s">
        <v>667</v>
      </c>
      <c r="G182" s="673"/>
      <c r="H182" s="673"/>
      <c r="I182" s="673"/>
      <c r="J182" s="673"/>
      <c r="K182" s="687"/>
      <c r="L182" s="755"/>
      <c r="N182" s="731"/>
      <c r="O182" s="5"/>
      <c r="P182" s="732"/>
      <c r="Q182" s="733"/>
      <c r="R182" s="732"/>
      <c r="S182" s="733"/>
      <c r="T182" s="734"/>
      <c r="U182" s="735"/>
    </row>
    <row r="183" spans="1:21" s="730" customFormat="1">
      <c r="A183" s="727"/>
      <c r="B183" s="739"/>
      <c r="C183" s="779" t="s">
        <v>670</v>
      </c>
      <c r="D183" s="661" t="s">
        <v>671</v>
      </c>
      <c r="E183" s="759"/>
      <c r="F183" s="759" t="s">
        <v>104</v>
      </c>
      <c r="G183" s="673"/>
      <c r="H183" s="673"/>
      <c r="I183" s="673"/>
      <c r="J183" s="673"/>
      <c r="K183" s="687"/>
      <c r="L183" s="755"/>
      <c r="N183" s="731"/>
      <c r="O183" s="5"/>
      <c r="P183" s="732"/>
      <c r="Q183" s="733"/>
      <c r="R183" s="732"/>
      <c r="S183" s="733"/>
      <c r="T183" s="734"/>
      <c r="U183" s="735"/>
    </row>
    <row r="184" spans="1:21" s="730" customFormat="1">
      <c r="A184" s="727"/>
      <c r="B184" s="739"/>
      <c r="C184" s="779" t="s">
        <v>672</v>
      </c>
      <c r="D184" s="661" t="s">
        <v>673</v>
      </c>
      <c r="E184" s="759"/>
      <c r="F184" s="759" t="s">
        <v>340</v>
      </c>
      <c r="G184" s="673"/>
      <c r="H184" s="673"/>
      <c r="I184" s="673"/>
      <c r="J184" s="673"/>
      <c r="K184" s="687"/>
      <c r="L184" s="755"/>
      <c r="N184" s="731"/>
      <c r="O184" s="5"/>
      <c r="P184" s="732"/>
      <c r="Q184" s="733"/>
      <c r="R184" s="732"/>
      <c r="S184" s="733"/>
      <c r="T184" s="734"/>
      <c r="U184" s="735"/>
    </row>
    <row r="185" spans="1:21" s="730" customFormat="1">
      <c r="A185" s="727"/>
      <c r="B185" s="739" t="s">
        <v>361</v>
      </c>
      <c r="C185" s="738" t="s">
        <v>372</v>
      </c>
      <c r="D185" s="661"/>
      <c r="E185" s="759"/>
      <c r="F185" s="759"/>
      <c r="G185" s="673"/>
      <c r="H185" s="673"/>
      <c r="I185" s="673"/>
      <c r="J185" s="673"/>
      <c r="K185" s="687"/>
      <c r="L185" s="755"/>
      <c r="N185" s="731"/>
      <c r="O185" s="5"/>
      <c r="P185" s="732"/>
      <c r="Q185" s="733"/>
      <c r="R185" s="732"/>
      <c r="S185" s="733"/>
      <c r="T185" s="734"/>
      <c r="U185" s="735"/>
    </row>
    <row r="186" spans="1:21" s="730" customFormat="1">
      <c r="A186" s="727"/>
      <c r="B186" s="739"/>
      <c r="C186" s="779" t="s">
        <v>674</v>
      </c>
      <c r="D186" s="661" t="s">
        <v>384</v>
      </c>
      <c r="E186" s="759"/>
      <c r="F186" s="759" t="s">
        <v>284</v>
      </c>
      <c r="G186" s="673"/>
      <c r="H186" s="673"/>
      <c r="I186" s="673"/>
      <c r="J186" s="673"/>
      <c r="K186" s="687"/>
      <c r="L186" s="755"/>
      <c r="N186" s="731"/>
      <c r="O186" s="5"/>
      <c r="P186" s="732"/>
      <c r="Q186" s="733"/>
      <c r="R186" s="732"/>
      <c r="S186" s="733"/>
      <c r="T186" s="734"/>
      <c r="U186" s="735"/>
    </row>
    <row r="187" spans="1:21" s="730" customFormat="1">
      <c r="A187" s="727"/>
      <c r="B187" s="739"/>
      <c r="C187" s="779" t="s">
        <v>675</v>
      </c>
      <c r="D187" s="661" t="s">
        <v>386</v>
      </c>
      <c r="E187" s="759"/>
      <c r="F187" s="759" t="s">
        <v>284</v>
      </c>
      <c r="G187" s="673"/>
      <c r="H187" s="673"/>
      <c r="I187" s="673"/>
      <c r="J187" s="673"/>
      <c r="K187" s="687"/>
      <c r="L187" s="755"/>
      <c r="N187" s="731"/>
      <c r="O187" s="5"/>
      <c r="P187" s="732"/>
      <c r="Q187" s="733"/>
      <c r="R187" s="732"/>
      <c r="S187" s="733"/>
      <c r="T187" s="734"/>
      <c r="U187" s="735"/>
    </row>
    <row r="188" spans="1:21" s="730" customFormat="1">
      <c r="A188" s="727"/>
      <c r="B188" s="739"/>
      <c r="C188" s="779" t="s">
        <v>676</v>
      </c>
      <c r="D188" s="661" t="s">
        <v>677</v>
      </c>
      <c r="E188" s="759"/>
      <c r="F188" s="759" t="s">
        <v>104</v>
      </c>
      <c r="G188" s="673"/>
      <c r="H188" s="673"/>
      <c r="I188" s="673"/>
      <c r="J188" s="673"/>
      <c r="K188" s="687"/>
      <c r="L188" s="755"/>
      <c r="N188" s="731"/>
      <c r="O188" s="5"/>
      <c r="P188" s="732"/>
      <c r="Q188" s="733"/>
      <c r="R188" s="732"/>
      <c r="S188" s="733"/>
      <c r="T188" s="734"/>
      <c r="U188" s="735"/>
    </row>
    <row r="189" spans="1:21" s="730" customFormat="1">
      <c r="A189" s="727"/>
      <c r="B189" s="739"/>
      <c r="C189" s="779" t="s">
        <v>678</v>
      </c>
      <c r="D189" s="661" t="s">
        <v>673</v>
      </c>
      <c r="E189" s="759"/>
      <c r="F189" s="759" t="s">
        <v>340</v>
      </c>
      <c r="G189" s="673"/>
      <c r="H189" s="673"/>
      <c r="I189" s="673"/>
      <c r="J189" s="673"/>
      <c r="K189" s="687"/>
      <c r="L189" s="755"/>
      <c r="N189" s="731"/>
      <c r="O189" s="5"/>
      <c r="P189" s="732"/>
      <c r="Q189" s="733"/>
      <c r="R189" s="732"/>
      <c r="S189" s="733"/>
      <c r="T189" s="734"/>
      <c r="U189" s="735"/>
    </row>
    <row r="190" spans="1:21" s="730" customFormat="1">
      <c r="A190" s="727">
        <v>3.6</v>
      </c>
      <c r="B190" s="739" t="s">
        <v>393</v>
      </c>
      <c r="C190" s="737"/>
      <c r="D190" s="661"/>
      <c r="E190" s="759"/>
      <c r="F190" s="759"/>
      <c r="G190" s="673"/>
      <c r="H190" s="673"/>
      <c r="I190" s="673"/>
      <c r="J190" s="673"/>
      <c r="K190" s="687"/>
      <c r="L190" s="755"/>
      <c r="N190" s="731"/>
      <c r="O190" s="5"/>
      <c r="P190" s="732"/>
      <c r="Q190" s="733"/>
      <c r="R190" s="732"/>
      <c r="S190" s="733"/>
      <c r="T190" s="734"/>
      <c r="U190" s="735"/>
    </row>
    <row r="191" spans="1:21" s="730" customFormat="1">
      <c r="A191" s="727"/>
      <c r="B191" s="739" t="s">
        <v>366</v>
      </c>
      <c r="C191" s="738" t="s">
        <v>679</v>
      </c>
      <c r="D191" s="661"/>
      <c r="E191" s="759"/>
      <c r="F191" s="759"/>
      <c r="G191" s="673"/>
      <c r="H191" s="673"/>
      <c r="I191" s="673"/>
      <c r="J191" s="673"/>
      <c r="K191" s="687"/>
      <c r="L191" s="755"/>
      <c r="N191" s="731"/>
      <c r="O191" s="5"/>
      <c r="P191" s="732"/>
      <c r="Q191" s="733"/>
      <c r="R191" s="732"/>
      <c r="S191" s="733"/>
      <c r="T191" s="734"/>
      <c r="U191" s="735"/>
    </row>
    <row r="192" spans="1:21" s="730" customFormat="1" ht="43.5">
      <c r="A192" s="727"/>
      <c r="B192" s="739"/>
      <c r="C192" s="737" t="s">
        <v>680</v>
      </c>
      <c r="D192" s="661" t="s">
        <v>681</v>
      </c>
      <c r="E192" s="759"/>
      <c r="F192" s="759" t="s">
        <v>284</v>
      </c>
      <c r="G192" s="673"/>
      <c r="H192" s="673"/>
      <c r="I192" s="673"/>
      <c r="J192" s="673"/>
      <c r="K192" s="687"/>
      <c r="L192" s="755"/>
      <c r="N192" s="731"/>
      <c r="O192" s="5"/>
      <c r="P192" s="732"/>
      <c r="Q192" s="733"/>
      <c r="R192" s="732"/>
      <c r="S192" s="733"/>
      <c r="T192" s="734"/>
      <c r="U192" s="735"/>
    </row>
    <row r="193" spans="1:21" s="730" customFormat="1">
      <c r="A193" s="727"/>
      <c r="B193" s="739"/>
      <c r="C193" s="737" t="s">
        <v>682</v>
      </c>
      <c r="D193" s="661" t="s">
        <v>397</v>
      </c>
      <c r="E193" s="759"/>
      <c r="F193" s="759" t="s">
        <v>284</v>
      </c>
      <c r="G193" s="673"/>
      <c r="H193" s="673"/>
      <c r="I193" s="673"/>
      <c r="J193" s="673"/>
      <c r="K193" s="687"/>
      <c r="L193" s="755"/>
      <c r="N193" s="731"/>
      <c r="O193" s="5"/>
      <c r="P193" s="732"/>
      <c r="Q193" s="733"/>
      <c r="R193" s="732"/>
      <c r="S193" s="733"/>
      <c r="T193" s="734"/>
      <c r="U193" s="735"/>
    </row>
    <row r="194" spans="1:21" s="730" customFormat="1">
      <c r="A194" s="727"/>
      <c r="B194" s="739"/>
      <c r="C194" s="737" t="s">
        <v>683</v>
      </c>
      <c r="D194" s="661" t="s">
        <v>399</v>
      </c>
      <c r="E194" s="759"/>
      <c r="F194" s="759"/>
      <c r="G194" s="673"/>
      <c r="H194" s="673"/>
      <c r="I194" s="673"/>
      <c r="J194" s="673"/>
      <c r="K194" s="687"/>
      <c r="L194" s="755"/>
      <c r="N194" s="731"/>
      <c r="O194" s="5"/>
      <c r="P194" s="732"/>
      <c r="Q194" s="733"/>
      <c r="R194" s="732"/>
      <c r="S194" s="733"/>
      <c r="T194" s="734"/>
      <c r="U194" s="735"/>
    </row>
    <row r="195" spans="1:21" s="730" customFormat="1">
      <c r="A195" s="727"/>
      <c r="B195" s="739"/>
      <c r="C195" s="737" t="s">
        <v>282</v>
      </c>
      <c r="D195" s="661" t="s">
        <v>400</v>
      </c>
      <c r="E195" s="759"/>
      <c r="F195" s="759" t="s">
        <v>284</v>
      </c>
      <c r="G195" s="673"/>
      <c r="H195" s="673"/>
      <c r="I195" s="673"/>
      <c r="J195" s="673"/>
      <c r="K195" s="687"/>
      <c r="L195" s="755"/>
      <c r="N195" s="731"/>
      <c r="O195" s="5"/>
      <c r="P195" s="732"/>
      <c r="Q195" s="733"/>
      <c r="R195" s="732"/>
      <c r="S195" s="733"/>
      <c r="T195" s="734"/>
      <c r="U195" s="735"/>
    </row>
    <row r="196" spans="1:21" s="730" customFormat="1">
      <c r="A196" s="727"/>
      <c r="B196" s="739"/>
      <c r="C196" s="737" t="s">
        <v>684</v>
      </c>
      <c r="D196" s="661" t="s">
        <v>404</v>
      </c>
      <c r="E196" s="759"/>
      <c r="F196" s="759" t="s">
        <v>284</v>
      </c>
      <c r="G196" s="673"/>
      <c r="H196" s="673"/>
      <c r="I196" s="673"/>
      <c r="J196" s="673"/>
      <c r="K196" s="687"/>
      <c r="L196" s="755"/>
      <c r="N196" s="731"/>
      <c r="O196" s="5"/>
      <c r="P196" s="732"/>
      <c r="Q196" s="733"/>
      <c r="R196" s="732"/>
      <c r="S196" s="733"/>
      <c r="T196" s="734"/>
      <c r="U196" s="735"/>
    </row>
    <row r="197" spans="1:21" s="730" customFormat="1">
      <c r="A197" s="727"/>
      <c r="B197" s="739"/>
      <c r="C197" s="737" t="s">
        <v>685</v>
      </c>
      <c r="D197" s="661" t="s">
        <v>406</v>
      </c>
      <c r="E197" s="759"/>
      <c r="F197" s="759" t="s">
        <v>284</v>
      </c>
      <c r="G197" s="673"/>
      <c r="H197" s="673"/>
      <c r="I197" s="673"/>
      <c r="J197" s="673"/>
      <c r="K197" s="687"/>
      <c r="L197" s="755"/>
      <c r="N197" s="731"/>
      <c r="O197" s="5"/>
      <c r="P197" s="732"/>
      <c r="Q197" s="733"/>
      <c r="R197" s="732"/>
      <c r="S197" s="733"/>
      <c r="T197" s="734"/>
      <c r="U197" s="735"/>
    </row>
    <row r="198" spans="1:21" s="730" customFormat="1">
      <c r="A198" s="727"/>
      <c r="B198" s="739"/>
      <c r="C198" s="737" t="s">
        <v>686</v>
      </c>
      <c r="D198" s="661" t="s">
        <v>408</v>
      </c>
      <c r="E198" s="759"/>
      <c r="F198" s="759"/>
      <c r="G198" s="673"/>
      <c r="H198" s="673"/>
      <c r="I198" s="673"/>
      <c r="J198" s="673"/>
      <c r="K198" s="687"/>
      <c r="L198" s="755"/>
      <c r="N198" s="731"/>
      <c r="O198" s="5"/>
      <c r="P198" s="732"/>
      <c r="Q198" s="733"/>
      <c r="R198" s="732"/>
      <c r="S198" s="733"/>
      <c r="T198" s="734"/>
      <c r="U198" s="735"/>
    </row>
    <row r="199" spans="1:21" s="730" customFormat="1">
      <c r="A199" s="727"/>
      <c r="B199" s="739"/>
      <c r="C199" s="737" t="s">
        <v>282</v>
      </c>
      <c r="D199" s="661" t="s">
        <v>409</v>
      </c>
      <c r="E199" s="759"/>
      <c r="F199" s="759" t="s">
        <v>284</v>
      </c>
      <c r="G199" s="673"/>
      <c r="H199" s="673"/>
      <c r="I199" s="673"/>
      <c r="J199" s="673"/>
      <c r="K199" s="687"/>
      <c r="L199" s="755"/>
      <c r="N199" s="731"/>
      <c r="O199" s="5"/>
      <c r="P199" s="732"/>
      <c r="Q199" s="733"/>
      <c r="R199" s="732"/>
      <c r="S199" s="733"/>
      <c r="T199" s="734"/>
      <c r="U199" s="735"/>
    </row>
    <row r="200" spans="1:21" s="730" customFormat="1">
      <c r="A200" s="727"/>
      <c r="B200" s="739"/>
      <c r="C200" s="737" t="s">
        <v>687</v>
      </c>
      <c r="D200" s="661" t="s">
        <v>304</v>
      </c>
      <c r="E200" s="759"/>
      <c r="F200" s="759"/>
      <c r="G200" s="673"/>
      <c r="H200" s="673"/>
      <c r="I200" s="673"/>
      <c r="J200" s="673"/>
      <c r="K200" s="687"/>
      <c r="L200" s="755"/>
      <c r="N200" s="731"/>
      <c r="O200" s="5"/>
      <c r="P200" s="732"/>
      <c r="Q200" s="733"/>
      <c r="R200" s="732"/>
      <c r="S200" s="733"/>
      <c r="T200" s="734"/>
      <c r="U200" s="735"/>
    </row>
    <row r="201" spans="1:21" s="730" customFormat="1">
      <c r="A201" s="727"/>
      <c r="B201" s="739"/>
      <c r="C201" s="737" t="s">
        <v>282</v>
      </c>
      <c r="D201" s="661" t="s">
        <v>688</v>
      </c>
      <c r="E201" s="759"/>
      <c r="F201" s="759" t="s">
        <v>104</v>
      </c>
      <c r="G201" s="673"/>
      <c r="H201" s="673"/>
      <c r="I201" s="673"/>
      <c r="J201" s="673"/>
      <c r="K201" s="687"/>
      <c r="L201" s="755"/>
      <c r="N201" s="731"/>
      <c r="O201" s="5"/>
      <c r="P201" s="732"/>
      <c r="Q201" s="733"/>
      <c r="R201" s="732"/>
      <c r="S201" s="733"/>
      <c r="T201" s="734"/>
      <c r="U201" s="735"/>
    </row>
    <row r="202" spans="1:21" s="730" customFormat="1">
      <c r="A202" s="727"/>
      <c r="B202" s="739"/>
      <c r="C202" s="737" t="s">
        <v>689</v>
      </c>
      <c r="D202" s="661" t="s">
        <v>339</v>
      </c>
      <c r="E202" s="759"/>
      <c r="F202" s="759" t="s">
        <v>340</v>
      </c>
      <c r="G202" s="673"/>
      <c r="H202" s="673"/>
      <c r="I202" s="673"/>
      <c r="J202" s="673"/>
      <c r="K202" s="687"/>
      <c r="L202" s="755"/>
      <c r="N202" s="731"/>
      <c r="O202" s="5"/>
      <c r="P202" s="732"/>
      <c r="Q202" s="733"/>
      <c r="R202" s="732"/>
      <c r="S202" s="733"/>
      <c r="T202" s="734"/>
      <c r="U202" s="735"/>
    </row>
    <row r="203" spans="1:21" s="730" customFormat="1">
      <c r="A203" s="727"/>
      <c r="B203" s="739" t="s">
        <v>368</v>
      </c>
      <c r="C203" s="738" t="s">
        <v>414</v>
      </c>
      <c r="D203" s="661"/>
      <c r="E203" s="759"/>
      <c r="F203" s="759"/>
      <c r="G203" s="673"/>
      <c r="H203" s="673"/>
      <c r="I203" s="673"/>
      <c r="J203" s="673"/>
      <c r="K203" s="687"/>
      <c r="L203" s="755"/>
      <c r="N203" s="731"/>
      <c r="O203" s="5"/>
      <c r="P203" s="732"/>
      <c r="Q203" s="733"/>
      <c r="R203" s="732"/>
      <c r="S203" s="733"/>
      <c r="T203" s="734"/>
      <c r="U203" s="735"/>
    </row>
    <row r="204" spans="1:21" s="730" customFormat="1" ht="43.5">
      <c r="A204" s="727"/>
      <c r="B204" s="739"/>
      <c r="C204" s="737" t="s">
        <v>690</v>
      </c>
      <c r="D204" s="661" t="s">
        <v>416</v>
      </c>
      <c r="E204" s="759"/>
      <c r="F204" s="759" t="s">
        <v>284</v>
      </c>
      <c r="G204" s="673"/>
      <c r="H204" s="673"/>
      <c r="I204" s="673"/>
      <c r="J204" s="673"/>
      <c r="K204" s="687"/>
      <c r="L204" s="755"/>
      <c r="N204" s="731"/>
      <c r="O204" s="5"/>
      <c r="P204" s="732"/>
      <c r="Q204" s="733"/>
      <c r="R204" s="732"/>
      <c r="S204" s="733"/>
      <c r="T204" s="734"/>
      <c r="U204" s="735"/>
    </row>
    <row r="205" spans="1:21" s="730" customFormat="1">
      <c r="A205" s="727"/>
      <c r="B205" s="739"/>
      <c r="C205" s="737" t="s">
        <v>691</v>
      </c>
      <c r="D205" s="661" t="s">
        <v>418</v>
      </c>
      <c r="E205" s="759"/>
      <c r="F205" s="759" t="s">
        <v>287</v>
      </c>
      <c r="G205" s="673"/>
      <c r="H205" s="673"/>
      <c r="I205" s="673"/>
      <c r="J205" s="673"/>
      <c r="K205" s="687"/>
      <c r="L205" s="755"/>
      <c r="N205" s="731"/>
      <c r="O205" s="5"/>
      <c r="P205" s="732"/>
      <c r="Q205" s="733"/>
      <c r="R205" s="732"/>
      <c r="S205" s="733"/>
      <c r="T205" s="734"/>
      <c r="U205" s="735"/>
    </row>
    <row r="206" spans="1:21" s="730" customFormat="1">
      <c r="A206" s="727"/>
      <c r="B206" s="739"/>
      <c r="C206" s="737" t="s">
        <v>692</v>
      </c>
      <c r="D206" s="661" t="s">
        <v>420</v>
      </c>
      <c r="E206" s="759"/>
      <c r="F206" s="759" t="s">
        <v>287</v>
      </c>
      <c r="G206" s="673"/>
      <c r="H206" s="673"/>
      <c r="I206" s="673"/>
      <c r="J206" s="673"/>
      <c r="K206" s="687"/>
      <c r="L206" s="755"/>
      <c r="N206" s="731"/>
      <c r="O206" s="5"/>
      <c r="P206" s="732"/>
      <c r="Q206" s="733"/>
      <c r="R206" s="732"/>
      <c r="S206" s="733"/>
      <c r="T206" s="734"/>
      <c r="U206" s="735"/>
    </row>
    <row r="207" spans="1:21" s="730" customFormat="1">
      <c r="A207" s="727"/>
      <c r="B207" s="739"/>
      <c r="C207" s="737" t="s">
        <v>693</v>
      </c>
      <c r="D207" s="661" t="s">
        <v>304</v>
      </c>
      <c r="E207" s="759"/>
      <c r="F207" s="759"/>
      <c r="G207" s="673"/>
      <c r="H207" s="673"/>
      <c r="I207" s="673"/>
      <c r="J207" s="673"/>
      <c r="K207" s="687"/>
      <c r="L207" s="755"/>
      <c r="N207" s="731"/>
      <c r="O207" s="5"/>
      <c r="P207" s="732"/>
      <c r="Q207" s="733"/>
      <c r="R207" s="732"/>
      <c r="S207" s="733"/>
      <c r="T207" s="734"/>
      <c r="U207" s="735"/>
    </row>
    <row r="208" spans="1:21" s="730" customFormat="1">
      <c r="A208" s="727"/>
      <c r="B208" s="739"/>
      <c r="C208" s="737" t="s">
        <v>282</v>
      </c>
      <c r="D208" s="661" t="s">
        <v>422</v>
      </c>
      <c r="E208" s="759"/>
      <c r="F208" s="759" t="s">
        <v>104</v>
      </c>
      <c r="G208" s="673"/>
      <c r="H208" s="673"/>
      <c r="I208" s="673"/>
      <c r="J208" s="673"/>
      <c r="K208" s="687"/>
      <c r="L208" s="755"/>
      <c r="N208" s="731"/>
      <c r="O208" s="5"/>
      <c r="P208" s="732"/>
      <c r="Q208" s="733"/>
      <c r="R208" s="732"/>
      <c r="S208" s="733"/>
      <c r="T208" s="734"/>
      <c r="U208" s="735"/>
    </row>
    <row r="209" spans="1:21" s="730" customFormat="1">
      <c r="A209" s="727"/>
      <c r="B209" s="739"/>
      <c r="C209" s="737" t="s">
        <v>282</v>
      </c>
      <c r="D209" s="661" t="s">
        <v>423</v>
      </c>
      <c r="E209" s="759"/>
      <c r="F209" s="759" t="s">
        <v>104</v>
      </c>
      <c r="G209" s="673"/>
      <c r="H209" s="673"/>
      <c r="I209" s="673"/>
      <c r="J209" s="673"/>
      <c r="K209" s="687"/>
      <c r="L209" s="755"/>
      <c r="N209" s="731"/>
      <c r="O209" s="5"/>
      <c r="P209" s="732"/>
      <c r="Q209" s="733"/>
      <c r="R209" s="732"/>
      <c r="S209" s="733"/>
      <c r="T209" s="734"/>
      <c r="U209" s="735"/>
    </row>
    <row r="210" spans="1:21" s="730" customFormat="1">
      <c r="A210" s="727"/>
      <c r="B210" s="739"/>
      <c r="C210" s="737" t="s">
        <v>694</v>
      </c>
      <c r="D210" s="661" t="s">
        <v>339</v>
      </c>
      <c r="E210" s="759"/>
      <c r="F210" s="759" t="s">
        <v>340</v>
      </c>
      <c r="G210" s="673"/>
      <c r="H210" s="673"/>
      <c r="I210" s="673"/>
      <c r="J210" s="673"/>
      <c r="K210" s="687"/>
      <c r="L210" s="755"/>
      <c r="N210" s="731"/>
      <c r="O210" s="5"/>
      <c r="P210" s="732"/>
      <c r="Q210" s="733"/>
      <c r="R210" s="732"/>
      <c r="S210" s="733"/>
      <c r="T210" s="734"/>
      <c r="U210" s="735"/>
    </row>
    <row r="211" spans="1:21" s="730" customFormat="1">
      <c r="A211" s="727"/>
      <c r="B211" s="739"/>
      <c r="C211" s="737"/>
      <c r="D211" s="661"/>
      <c r="E211" s="759"/>
      <c r="F211" s="759"/>
      <c r="G211" s="673"/>
      <c r="H211" s="673"/>
      <c r="I211" s="673"/>
      <c r="J211" s="673"/>
      <c r="K211" s="687"/>
      <c r="L211" s="755"/>
      <c r="N211" s="731"/>
      <c r="O211" s="5"/>
      <c r="P211" s="732"/>
      <c r="Q211" s="733"/>
      <c r="R211" s="732"/>
      <c r="S211" s="733"/>
      <c r="T211" s="734"/>
      <c r="U211" s="735"/>
    </row>
    <row r="212" spans="1:21" s="730" customFormat="1">
      <c r="A212" s="727">
        <v>3.7</v>
      </c>
      <c r="B212" s="739" t="s">
        <v>426</v>
      </c>
      <c r="C212" s="780"/>
      <c r="D212" s="661"/>
      <c r="E212" s="759"/>
      <c r="F212" s="759"/>
      <c r="G212" s="673"/>
      <c r="H212" s="673"/>
      <c r="I212" s="673"/>
      <c r="J212" s="673"/>
      <c r="K212" s="687"/>
      <c r="L212" s="755"/>
      <c r="N212" s="731"/>
      <c r="O212" s="5"/>
      <c r="P212" s="732"/>
      <c r="Q212" s="733"/>
      <c r="R212" s="732"/>
      <c r="S212" s="733"/>
      <c r="T212" s="734"/>
      <c r="U212" s="735"/>
    </row>
    <row r="213" spans="1:21" s="730" customFormat="1">
      <c r="A213" s="727"/>
      <c r="B213" s="739"/>
      <c r="C213" s="738" t="s">
        <v>427</v>
      </c>
      <c r="D213" s="661"/>
      <c r="E213" s="759"/>
      <c r="F213" s="759"/>
      <c r="G213" s="673"/>
      <c r="H213" s="673"/>
      <c r="I213" s="673"/>
      <c r="J213" s="673"/>
      <c r="K213" s="687"/>
      <c r="L213" s="755"/>
      <c r="N213" s="731"/>
      <c r="O213" s="5"/>
      <c r="P213" s="732"/>
      <c r="Q213" s="733"/>
      <c r="R213" s="732"/>
      <c r="S213" s="733"/>
      <c r="T213" s="734"/>
      <c r="U213" s="735"/>
    </row>
    <row r="214" spans="1:21" s="730" customFormat="1" ht="43.5">
      <c r="A214" s="727"/>
      <c r="B214" s="739"/>
      <c r="C214" s="779" t="s">
        <v>282</v>
      </c>
      <c r="D214" s="661" t="s">
        <v>695</v>
      </c>
      <c r="E214" s="759"/>
      <c r="F214" s="759" t="s">
        <v>284</v>
      </c>
      <c r="G214" s="673" t="s">
        <v>640</v>
      </c>
      <c r="H214" s="673"/>
      <c r="I214" s="673"/>
      <c r="J214" s="673"/>
      <c r="K214" s="687"/>
      <c r="L214" s="755"/>
      <c r="N214" s="731"/>
      <c r="O214" s="5"/>
      <c r="P214" s="732"/>
      <c r="Q214" s="733"/>
      <c r="R214" s="732"/>
      <c r="S214" s="733"/>
      <c r="T214" s="734"/>
      <c r="U214" s="735"/>
    </row>
    <row r="215" spans="1:21" s="730" customFormat="1">
      <c r="A215" s="727"/>
      <c r="B215" s="739"/>
      <c r="C215" s="779" t="s">
        <v>282</v>
      </c>
      <c r="D215" s="661" t="s">
        <v>696</v>
      </c>
      <c r="E215" s="759"/>
      <c r="F215" s="759" t="s">
        <v>340</v>
      </c>
      <c r="G215" s="673"/>
      <c r="H215" s="673"/>
      <c r="I215" s="673"/>
      <c r="J215" s="673"/>
      <c r="K215" s="687"/>
      <c r="L215" s="755"/>
      <c r="N215" s="731"/>
      <c r="O215" s="5"/>
      <c r="P215" s="732"/>
      <c r="Q215" s="733"/>
      <c r="R215" s="732"/>
      <c r="S215" s="733"/>
      <c r="T215" s="734"/>
      <c r="U215" s="735"/>
    </row>
    <row r="216" spans="1:21" s="730" customFormat="1">
      <c r="A216" s="727"/>
      <c r="B216" s="739"/>
      <c r="C216" s="728" t="s">
        <v>432</v>
      </c>
      <c r="E216" s="759"/>
      <c r="F216" s="759"/>
      <c r="G216" s="673"/>
      <c r="H216" s="673"/>
      <c r="I216" s="673"/>
      <c r="J216" s="673"/>
      <c r="K216" s="687"/>
      <c r="L216" s="755"/>
      <c r="N216" s="731"/>
      <c r="O216" s="5"/>
      <c r="P216" s="732"/>
      <c r="Q216" s="733"/>
      <c r="R216" s="732"/>
      <c r="S216" s="733"/>
      <c r="T216" s="734"/>
      <c r="U216" s="735"/>
    </row>
    <row r="217" spans="1:21" s="730" customFormat="1">
      <c r="A217" s="727"/>
      <c r="B217" s="739"/>
      <c r="C217" s="737" t="s">
        <v>282</v>
      </c>
      <c r="D217" s="661" t="s">
        <v>697</v>
      </c>
      <c r="E217" s="759"/>
      <c r="F217" s="759" t="s">
        <v>284</v>
      </c>
      <c r="G217" s="673"/>
      <c r="H217" s="673"/>
      <c r="I217" s="673"/>
      <c r="J217" s="673"/>
      <c r="K217" s="687"/>
      <c r="L217" s="755"/>
      <c r="N217" s="731"/>
      <c r="O217" s="5"/>
      <c r="P217" s="732"/>
      <c r="Q217" s="733"/>
      <c r="R217" s="732"/>
      <c r="S217" s="733"/>
      <c r="T217" s="734"/>
      <c r="U217" s="735"/>
    </row>
    <row r="218" spans="1:21" s="730" customFormat="1">
      <c r="A218" s="727"/>
      <c r="B218" s="775"/>
      <c r="C218" s="737"/>
      <c r="D218" s="728"/>
      <c r="E218" s="759"/>
      <c r="F218" s="759"/>
      <c r="G218" s="673"/>
      <c r="H218" s="673"/>
      <c r="I218" s="673"/>
      <c r="J218" s="673"/>
      <c r="K218" s="687"/>
      <c r="L218" s="755"/>
      <c r="N218" s="731"/>
      <c r="O218" s="5"/>
      <c r="P218" s="732"/>
      <c r="Q218" s="733"/>
      <c r="R218" s="732"/>
      <c r="S218" s="733"/>
      <c r="T218" s="734"/>
      <c r="U218" s="735"/>
    </row>
    <row r="219" spans="1:21" ht="23.25">
      <c r="A219" s="1180">
        <v>4</v>
      </c>
      <c r="B219" s="1181" t="s">
        <v>698</v>
      </c>
      <c r="C219" s="646"/>
      <c r="D219" s="1182"/>
      <c r="E219" s="1183"/>
      <c r="F219" s="1184"/>
      <c r="G219" s="1185"/>
      <c r="H219" s="1185"/>
      <c r="I219" s="1185"/>
      <c r="J219" s="1185"/>
      <c r="K219" s="1186"/>
      <c r="L219" s="1187"/>
      <c r="N219" s="14"/>
      <c r="O219" s="15"/>
      <c r="P219" s="20"/>
      <c r="Q219" s="17"/>
      <c r="R219" s="20"/>
      <c r="S219" s="16"/>
      <c r="T219" s="18"/>
      <c r="U219" s="13"/>
    </row>
    <row r="220" spans="1:21" s="783" customFormat="1">
      <c r="A220" s="932">
        <v>4.0999999999999996</v>
      </c>
      <c r="B220" s="782" t="s">
        <v>452</v>
      </c>
      <c r="D220" s="784"/>
      <c r="E220" s="759"/>
      <c r="F220" s="759"/>
      <c r="G220" s="673"/>
      <c r="H220" s="673"/>
      <c r="I220" s="673"/>
      <c r="J220" s="673"/>
      <c r="K220" s="687"/>
      <c r="L220" s="755"/>
      <c r="N220" s="731"/>
      <c r="O220" s="785"/>
      <c r="P220" s="733"/>
      <c r="Q220" s="733"/>
      <c r="R220" s="733"/>
      <c r="S220" s="733"/>
      <c r="T220" s="786"/>
      <c r="U220" s="787"/>
    </row>
    <row r="221" spans="1:21" s="783" customFormat="1">
      <c r="A221" s="781"/>
      <c r="B221" s="788"/>
      <c r="C221" s="789" t="s">
        <v>428</v>
      </c>
      <c r="D221" s="790" t="s">
        <v>699</v>
      </c>
      <c r="E221" s="759"/>
      <c r="F221" s="759" t="s">
        <v>87</v>
      </c>
      <c r="G221" s="673"/>
      <c r="H221" s="673"/>
      <c r="I221" s="673"/>
      <c r="J221" s="673"/>
      <c r="K221" s="687"/>
      <c r="L221" s="755"/>
      <c r="N221" s="731"/>
      <c r="O221" s="785"/>
      <c r="P221" s="733"/>
      <c r="Q221" s="733"/>
      <c r="R221" s="733"/>
      <c r="S221" s="733"/>
      <c r="T221" s="786"/>
      <c r="U221" s="787"/>
    </row>
    <row r="222" spans="1:21" s="783" customFormat="1">
      <c r="A222" s="781"/>
      <c r="B222" s="788"/>
      <c r="C222" s="789" t="s">
        <v>431</v>
      </c>
      <c r="D222" s="790" t="s">
        <v>700</v>
      </c>
      <c r="E222" s="759"/>
      <c r="F222" s="759" t="s">
        <v>87</v>
      </c>
      <c r="G222" s="673"/>
      <c r="H222" s="673"/>
      <c r="I222" s="673"/>
      <c r="J222" s="673"/>
      <c r="K222" s="687"/>
      <c r="L222" s="755"/>
      <c r="N222" s="731"/>
      <c r="O222" s="785"/>
      <c r="P222" s="733"/>
      <c r="Q222" s="733"/>
      <c r="R222" s="733"/>
      <c r="S222" s="733"/>
      <c r="T222" s="786"/>
      <c r="U222" s="787"/>
    </row>
    <row r="223" spans="1:21" s="783" customFormat="1">
      <c r="A223" s="781"/>
      <c r="B223" s="788"/>
      <c r="C223" s="789" t="s">
        <v>701</v>
      </c>
      <c r="D223" s="790" t="s">
        <v>702</v>
      </c>
      <c r="E223" s="759"/>
      <c r="F223" s="759" t="s">
        <v>87</v>
      </c>
      <c r="G223" s="673"/>
      <c r="H223" s="673"/>
      <c r="I223" s="673"/>
      <c r="J223" s="673"/>
      <c r="K223" s="687"/>
      <c r="L223" s="755"/>
      <c r="N223" s="731"/>
      <c r="O223" s="785"/>
      <c r="P223" s="733"/>
      <c r="Q223" s="733"/>
      <c r="R223" s="733"/>
      <c r="S223" s="733"/>
      <c r="T223" s="786"/>
      <c r="U223" s="787"/>
    </row>
    <row r="224" spans="1:21" s="783" customFormat="1">
      <c r="A224" s="781"/>
      <c r="B224" s="788"/>
      <c r="C224" s="789" t="s">
        <v>703</v>
      </c>
      <c r="D224" s="790" t="s">
        <v>704</v>
      </c>
      <c r="E224" s="759"/>
      <c r="F224" s="759" t="s">
        <v>87</v>
      </c>
      <c r="G224" s="673"/>
      <c r="H224" s="673"/>
      <c r="I224" s="673"/>
      <c r="J224" s="673"/>
      <c r="K224" s="687"/>
      <c r="L224" s="755"/>
      <c r="N224" s="731"/>
      <c r="O224" s="785"/>
      <c r="P224" s="733"/>
      <c r="Q224" s="733"/>
      <c r="R224" s="733"/>
      <c r="S224" s="733"/>
      <c r="T224" s="786"/>
      <c r="U224" s="787"/>
    </row>
    <row r="225" spans="1:21" s="783" customFormat="1">
      <c r="A225" s="781"/>
      <c r="B225" s="788"/>
      <c r="C225" s="789" t="s">
        <v>705</v>
      </c>
      <c r="D225" s="790" t="s">
        <v>706</v>
      </c>
      <c r="E225" s="759"/>
      <c r="F225" s="759" t="s">
        <v>87</v>
      </c>
      <c r="G225" s="673"/>
      <c r="H225" s="673"/>
      <c r="I225" s="673"/>
      <c r="J225" s="673"/>
      <c r="K225" s="687"/>
      <c r="L225" s="755"/>
      <c r="N225" s="731"/>
      <c r="O225" s="785"/>
      <c r="P225" s="733"/>
      <c r="Q225" s="733"/>
      <c r="R225" s="733"/>
      <c r="S225" s="733"/>
      <c r="T225" s="786"/>
      <c r="U225" s="787"/>
    </row>
    <row r="226" spans="1:21" s="783" customFormat="1">
      <c r="A226" s="781"/>
      <c r="B226" s="788"/>
      <c r="C226" s="789" t="s">
        <v>707</v>
      </c>
      <c r="D226" s="790" t="s">
        <v>708</v>
      </c>
      <c r="E226" s="759"/>
      <c r="F226" s="759" t="s">
        <v>87</v>
      </c>
      <c r="G226" s="673"/>
      <c r="H226" s="673"/>
      <c r="I226" s="673"/>
      <c r="J226" s="673"/>
      <c r="K226" s="687"/>
      <c r="L226" s="755"/>
      <c r="N226" s="731"/>
      <c r="O226" s="785"/>
      <c r="P226" s="733"/>
      <c r="Q226" s="733"/>
      <c r="R226" s="733"/>
      <c r="S226" s="733"/>
      <c r="T226" s="786"/>
      <c r="U226" s="787"/>
    </row>
    <row r="227" spans="1:21" s="783" customFormat="1">
      <c r="A227" s="781"/>
      <c r="B227" s="788"/>
      <c r="C227" s="789" t="s">
        <v>709</v>
      </c>
      <c r="D227" s="790" t="s">
        <v>710</v>
      </c>
      <c r="E227" s="759"/>
      <c r="F227" s="759" t="s">
        <v>87</v>
      </c>
      <c r="G227" s="673"/>
      <c r="H227" s="673"/>
      <c r="I227" s="673"/>
      <c r="J227" s="673"/>
      <c r="K227" s="687"/>
      <c r="L227" s="755"/>
      <c r="N227" s="731"/>
      <c r="O227" s="785"/>
      <c r="P227" s="733"/>
      <c r="Q227" s="733"/>
      <c r="R227" s="733"/>
      <c r="S227" s="733"/>
      <c r="T227" s="786"/>
      <c r="U227" s="787"/>
    </row>
    <row r="228" spans="1:21" s="783" customFormat="1">
      <c r="A228" s="781"/>
      <c r="B228" s="788"/>
      <c r="C228" s="789" t="s">
        <v>711</v>
      </c>
      <c r="D228" s="790" t="s">
        <v>712</v>
      </c>
      <c r="E228" s="759"/>
      <c r="F228" s="759" t="s">
        <v>87</v>
      </c>
      <c r="G228" s="673"/>
      <c r="H228" s="673"/>
      <c r="I228" s="673"/>
      <c r="J228" s="673"/>
      <c r="K228" s="687"/>
      <c r="L228" s="755"/>
      <c r="N228" s="731"/>
      <c r="O228" s="785"/>
      <c r="P228" s="733"/>
      <c r="Q228" s="733"/>
      <c r="R228" s="733"/>
      <c r="S228" s="733"/>
      <c r="T228" s="786"/>
      <c r="U228" s="787"/>
    </row>
    <row r="229" spans="1:21" s="783" customFormat="1">
      <c r="A229" s="781"/>
      <c r="B229" s="788"/>
      <c r="C229" s="789" t="s">
        <v>713</v>
      </c>
      <c r="D229" s="790" t="s">
        <v>714</v>
      </c>
      <c r="E229" s="759"/>
      <c r="F229" s="759" t="s">
        <v>87</v>
      </c>
      <c r="G229" s="673"/>
      <c r="H229" s="673"/>
      <c r="I229" s="673"/>
      <c r="J229" s="673"/>
      <c r="K229" s="687"/>
      <c r="L229" s="755"/>
      <c r="N229" s="731"/>
      <c r="O229" s="785"/>
      <c r="P229" s="733"/>
      <c r="Q229" s="733"/>
      <c r="R229" s="733"/>
      <c r="S229" s="733"/>
      <c r="T229" s="786"/>
      <c r="U229" s="787"/>
    </row>
    <row r="230" spans="1:21" s="783" customFormat="1">
      <c r="A230" s="781"/>
      <c r="B230" s="788"/>
      <c r="C230" s="789" t="s">
        <v>715</v>
      </c>
      <c r="D230" s="790" t="s">
        <v>716</v>
      </c>
      <c r="E230" s="759"/>
      <c r="F230" s="759" t="s">
        <v>87</v>
      </c>
      <c r="G230" s="673"/>
      <c r="H230" s="673"/>
      <c r="I230" s="673"/>
      <c r="J230" s="673"/>
      <c r="K230" s="687"/>
      <c r="L230" s="755"/>
      <c r="N230" s="731"/>
      <c r="O230" s="785"/>
      <c r="P230" s="733"/>
      <c r="Q230" s="733"/>
      <c r="R230" s="733"/>
      <c r="S230" s="733"/>
      <c r="T230" s="786"/>
      <c r="U230" s="787"/>
    </row>
    <row r="231" spans="1:21" s="783" customFormat="1">
      <c r="A231" s="781"/>
      <c r="B231" s="788"/>
      <c r="C231" s="789" t="s">
        <v>717</v>
      </c>
      <c r="D231" s="790" t="s">
        <v>718</v>
      </c>
      <c r="E231" s="759"/>
      <c r="F231" s="759" t="s">
        <v>87</v>
      </c>
      <c r="G231" s="673"/>
      <c r="H231" s="673"/>
      <c r="I231" s="673"/>
      <c r="J231" s="673"/>
      <c r="K231" s="687"/>
      <c r="L231" s="755"/>
      <c r="N231" s="731"/>
      <c r="O231" s="785"/>
      <c r="P231" s="733"/>
      <c r="Q231" s="733"/>
      <c r="R231" s="733"/>
      <c r="S231" s="733"/>
      <c r="T231" s="786"/>
      <c r="U231" s="787"/>
    </row>
    <row r="232" spans="1:21" s="783" customFormat="1">
      <c r="A232" s="781"/>
      <c r="B232" s="788"/>
      <c r="C232" s="789" t="s">
        <v>719</v>
      </c>
      <c r="D232" s="790" t="s">
        <v>720</v>
      </c>
      <c r="E232" s="759"/>
      <c r="F232" s="759" t="s">
        <v>87</v>
      </c>
      <c r="G232" s="673" t="s">
        <v>640</v>
      </c>
      <c r="H232" s="673"/>
      <c r="I232" s="673"/>
      <c r="J232" s="673"/>
      <c r="K232" s="687"/>
      <c r="L232" s="755"/>
      <c r="N232" s="731"/>
      <c r="O232" s="785"/>
      <c r="P232" s="733"/>
      <c r="Q232" s="733"/>
      <c r="R232" s="733"/>
      <c r="S232" s="733"/>
      <c r="T232" s="786"/>
      <c r="U232" s="787"/>
    </row>
    <row r="233" spans="1:21" s="783" customFormat="1" ht="65.25">
      <c r="A233" s="781"/>
      <c r="B233" s="788"/>
      <c r="C233" s="789" t="s">
        <v>721</v>
      </c>
      <c r="D233" s="790" t="s">
        <v>722</v>
      </c>
      <c r="E233" s="759"/>
      <c r="F233" s="759" t="s">
        <v>481</v>
      </c>
      <c r="G233" s="673"/>
      <c r="H233" s="673"/>
      <c r="I233" s="673"/>
      <c r="J233" s="673"/>
      <c r="K233" s="687"/>
      <c r="L233" s="755"/>
      <c r="N233" s="731"/>
      <c r="O233" s="785"/>
      <c r="P233" s="733"/>
      <c r="Q233" s="733"/>
      <c r="R233" s="733"/>
      <c r="S233" s="733"/>
      <c r="T233" s="786"/>
      <c r="U233" s="787"/>
    </row>
    <row r="234" spans="1:21" s="783" customFormat="1">
      <c r="A234" s="781"/>
      <c r="B234" s="788"/>
      <c r="C234" s="791"/>
      <c r="D234" s="790"/>
      <c r="E234" s="759"/>
      <c r="F234" s="759"/>
      <c r="G234" s="673"/>
      <c r="H234" s="673"/>
      <c r="I234" s="673"/>
      <c r="J234" s="673"/>
      <c r="K234" s="687"/>
      <c r="L234" s="755"/>
      <c r="N234" s="731"/>
      <c r="O234" s="785"/>
      <c r="P234" s="733"/>
      <c r="Q234" s="733"/>
      <c r="R234" s="733"/>
      <c r="S234" s="733"/>
      <c r="T234" s="786"/>
      <c r="U234" s="787"/>
    </row>
    <row r="235" spans="1:21" s="783" customFormat="1">
      <c r="A235" s="781">
        <v>4.2</v>
      </c>
      <c r="B235" s="792" t="s">
        <v>484</v>
      </c>
      <c r="C235" s="793"/>
      <c r="D235" s="784"/>
      <c r="E235" s="759"/>
      <c r="F235" s="759"/>
      <c r="G235" s="673"/>
      <c r="H235" s="673"/>
      <c r="I235" s="673"/>
      <c r="J235" s="673"/>
      <c r="K235" s="687"/>
      <c r="L235" s="755"/>
      <c r="N235" s="731"/>
      <c r="O235" s="785"/>
      <c r="P235" s="733"/>
      <c r="Q235" s="733"/>
      <c r="R235" s="733"/>
      <c r="S235" s="733"/>
      <c r="T235" s="786"/>
      <c r="U235" s="787"/>
    </row>
    <row r="236" spans="1:21" s="783" customFormat="1">
      <c r="A236" s="781"/>
      <c r="B236" s="788" t="s">
        <v>436</v>
      </c>
      <c r="C236" s="782" t="s">
        <v>723</v>
      </c>
      <c r="D236" s="782"/>
      <c r="E236" s="759"/>
      <c r="F236" s="759"/>
      <c r="G236" s="673"/>
      <c r="H236" s="673"/>
      <c r="I236" s="673"/>
      <c r="J236" s="673"/>
      <c r="K236" s="687"/>
      <c r="L236" s="755"/>
      <c r="N236" s="731"/>
      <c r="O236" s="785"/>
      <c r="P236" s="733"/>
      <c r="Q236" s="733"/>
      <c r="R236" s="733"/>
      <c r="S236" s="733"/>
      <c r="T236" s="786"/>
      <c r="U236" s="787"/>
    </row>
    <row r="237" spans="1:21" s="783" customFormat="1">
      <c r="A237" s="781"/>
      <c r="B237" s="788"/>
      <c r="C237" s="789" t="s">
        <v>724</v>
      </c>
      <c r="D237" s="790" t="s">
        <v>725</v>
      </c>
      <c r="E237" s="759"/>
      <c r="F237" s="759" t="s">
        <v>185</v>
      </c>
      <c r="G237" s="673"/>
      <c r="H237" s="673"/>
      <c r="I237" s="673"/>
      <c r="J237" s="673"/>
      <c r="K237" s="687"/>
      <c r="L237" s="755"/>
      <c r="N237" s="731"/>
      <c r="O237" s="785"/>
      <c r="P237" s="733"/>
      <c r="Q237" s="733"/>
      <c r="R237" s="733"/>
      <c r="S237" s="733"/>
      <c r="T237" s="786"/>
      <c r="U237" s="787"/>
    </row>
    <row r="238" spans="1:21" s="783" customFormat="1">
      <c r="A238" s="781"/>
      <c r="B238" s="788"/>
      <c r="C238" s="789" t="s">
        <v>724</v>
      </c>
      <c r="D238" s="790" t="s">
        <v>726</v>
      </c>
      <c r="E238" s="759"/>
      <c r="F238" s="759" t="s">
        <v>185</v>
      </c>
      <c r="G238" s="673"/>
      <c r="H238" s="673"/>
      <c r="I238" s="673"/>
      <c r="J238" s="673"/>
      <c r="K238" s="687"/>
      <c r="L238" s="755"/>
      <c r="N238" s="731"/>
      <c r="O238" s="785"/>
      <c r="P238" s="733"/>
      <c r="Q238" s="733"/>
      <c r="R238" s="733"/>
      <c r="S238" s="733"/>
      <c r="T238" s="786"/>
      <c r="U238" s="787"/>
    </row>
    <row r="239" spans="1:21" s="783" customFormat="1">
      <c r="A239" s="781"/>
      <c r="B239" s="788"/>
      <c r="C239" s="789" t="s">
        <v>724</v>
      </c>
      <c r="D239" s="790" t="s">
        <v>727</v>
      </c>
      <c r="E239" s="759"/>
      <c r="F239" s="759" t="s">
        <v>185</v>
      </c>
      <c r="G239" s="673"/>
      <c r="H239" s="673"/>
      <c r="I239" s="673"/>
      <c r="J239" s="673"/>
      <c r="K239" s="687"/>
      <c r="L239" s="755"/>
      <c r="N239" s="731"/>
      <c r="O239" s="785"/>
      <c r="P239" s="733"/>
      <c r="Q239" s="733"/>
      <c r="R239" s="733"/>
      <c r="S239" s="733"/>
      <c r="T239" s="786"/>
      <c r="U239" s="787"/>
    </row>
    <row r="240" spans="1:21" s="783" customFormat="1">
      <c r="A240" s="781"/>
      <c r="B240" s="788"/>
      <c r="C240" s="789" t="s">
        <v>724</v>
      </c>
      <c r="D240" s="790" t="s">
        <v>728</v>
      </c>
      <c r="E240" s="759"/>
      <c r="F240" s="759" t="s">
        <v>185</v>
      </c>
      <c r="G240" s="673"/>
      <c r="H240" s="673"/>
      <c r="I240" s="673"/>
      <c r="J240" s="673"/>
      <c r="K240" s="687"/>
      <c r="L240" s="755"/>
      <c r="N240" s="731"/>
      <c r="O240" s="785"/>
      <c r="P240" s="733"/>
      <c r="Q240" s="733"/>
      <c r="R240" s="733"/>
      <c r="S240" s="733"/>
      <c r="T240" s="786"/>
      <c r="U240" s="787"/>
    </row>
    <row r="241" spans="1:21" s="783" customFormat="1">
      <c r="A241" s="781"/>
      <c r="B241" s="788"/>
      <c r="C241" s="789" t="s">
        <v>724</v>
      </c>
      <c r="D241" s="790" t="s">
        <v>729</v>
      </c>
      <c r="E241" s="759"/>
      <c r="F241" s="759" t="s">
        <v>185</v>
      </c>
      <c r="G241" s="673"/>
      <c r="H241" s="673"/>
      <c r="I241" s="673"/>
      <c r="J241" s="673"/>
      <c r="K241" s="687"/>
      <c r="L241" s="755"/>
      <c r="N241" s="731"/>
      <c r="O241" s="785"/>
      <c r="P241" s="733"/>
      <c r="Q241" s="733"/>
      <c r="R241" s="733"/>
      <c r="S241" s="733"/>
      <c r="T241" s="786"/>
      <c r="U241" s="787"/>
    </row>
    <row r="242" spans="1:21" s="783" customFormat="1">
      <c r="A242" s="781"/>
      <c r="B242" s="788"/>
      <c r="C242" s="789" t="s">
        <v>724</v>
      </c>
      <c r="D242" s="790" t="s">
        <v>730</v>
      </c>
      <c r="E242" s="759"/>
      <c r="F242" s="759" t="s">
        <v>185</v>
      </c>
      <c r="G242" s="673"/>
      <c r="H242" s="673"/>
      <c r="I242" s="673"/>
      <c r="J242" s="673"/>
      <c r="K242" s="687"/>
      <c r="L242" s="755"/>
      <c r="N242" s="731"/>
      <c r="O242" s="785"/>
      <c r="P242" s="733"/>
      <c r="Q242" s="733"/>
      <c r="R242" s="733"/>
      <c r="S242" s="733"/>
      <c r="T242" s="786"/>
      <c r="U242" s="787"/>
    </row>
    <row r="243" spans="1:21" s="783" customFormat="1">
      <c r="A243" s="781"/>
      <c r="B243" s="788"/>
      <c r="C243" s="789" t="s">
        <v>724</v>
      </c>
      <c r="D243" s="790" t="s">
        <v>731</v>
      </c>
      <c r="E243" s="759"/>
      <c r="F243" s="759" t="s">
        <v>185</v>
      </c>
      <c r="G243" s="673"/>
      <c r="H243" s="673"/>
      <c r="I243" s="673"/>
      <c r="J243" s="673"/>
      <c r="K243" s="687"/>
      <c r="L243" s="755"/>
      <c r="N243" s="731"/>
      <c r="O243" s="785"/>
      <c r="P243" s="733"/>
      <c r="Q243" s="733"/>
      <c r="R243" s="733"/>
      <c r="S243" s="733"/>
      <c r="T243" s="786"/>
      <c r="U243" s="787"/>
    </row>
    <row r="244" spans="1:21" s="783" customFormat="1">
      <c r="A244" s="781"/>
      <c r="B244" s="788" t="s">
        <v>439</v>
      </c>
      <c r="C244" s="782" t="s">
        <v>732</v>
      </c>
      <c r="E244" s="759"/>
      <c r="F244" s="759"/>
      <c r="G244" s="673"/>
      <c r="H244" s="673"/>
      <c r="I244" s="673"/>
      <c r="J244" s="673"/>
      <c r="K244" s="687"/>
      <c r="L244" s="755"/>
      <c r="N244" s="731"/>
      <c r="O244" s="785"/>
      <c r="P244" s="733"/>
      <c r="Q244" s="733"/>
      <c r="R244" s="733"/>
      <c r="S244" s="733"/>
      <c r="T244" s="786"/>
      <c r="U244" s="787"/>
    </row>
    <row r="245" spans="1:21" s="783" customFormat="1">
      <c r="A245" s="781"/>
      <c r="B245" s="788"/>
      <c r="C245" s="789" t="s">
        <v>724</v>
      </c>
      <c r="D245" s="790" t="s">
        <v>733</v>
      </c>
      <c r="E245" s="759"/>
      <c r="F245" s="759" t="s">
        <v>277</v>
      </c>
      <c r="G245" s="673"/>
      <c r="H245" s="673"/>
      <c r="I245" s="673"/>
      <c r="J245" s="673"/>
      <c r="K245" s="687"/>
      <c r="L245" s="755"/>
      <c r="N245" s="731"/>
      <c r="O245" s="785"/>
      <c r="P245" s="733"/>
      <c r="Q245" s="733"/>
      <c r="R245" s="733"/>
      <c r="S245" s="733"/>
      <c r="T245" s="786"/>
      <c r="U245" s="787"/>
    </row>
    <row r="246" spans="1:21" s="783" customFormat="1">
      <c r="A246" s="781"/>
      <c r="B246" s="788"/>
      <c r="C246" s="789" t="s">
        <v>724</v>
      </c>
      <c r="D246" s="790" t="s">
        <v>734</v>
      </c>
      <c r="E246" s="759"/>
      <c r="F246" s="759" t="s">
        <v>277</v>
      </c>
      <c r="G246" s="673"/>
      <c r="H246" s="673"/>
      <c r="I246" s="673"/>
      <c r="J246" s="673"/>
      <c r="K246" s="687"/>
      <c r="L246" s="755"/>
      <c r="N246" s="731"/>
      <c r="O246" s="785"/>
      <c r="P246" s="733"/>
      <c r="Q246" s="733"/>
      <c r="R246" s="733"/>
      <c r="S246" s="733"/>
      <c r="T246" s="786"/>
      <c r="U246" s="787"/>
    </row>
    <row r="247" spans="1:21" s="783" customFormat="1">
      <c r="A247" s="781"/>
      <c r="B247" s="788"/>
      <c r="C247" s="789" t="s">
        <v>724</v>
      </c>
      <c r="D247" s="790" t="s">
        <v>735</v>
      </c>
      <c r="E247" s="759"/>
      <c r="F247" s="759" t="s">
        <v>277</v>
      </c>
      <c r="G247" s="673"/>
      <c r="H247" s="673"/>
      <c r="I247" s="673"/>
      <c r="J247" s="673"/>
      <c r="K247" s="687"/>
      <c r="L247" s="755"/>
      <c r="N247" s="731"/>
      <c r="O247" s="785"/>
      <c r="P247" s="733"/>
      <c r="Q247" s="733"/>
      <c r="R247" s="733"/>
      <c r="S247" s="733"/>
      <c r="T247" s="786"/>
      <c r="U247" s="787"/>
    </row>
    <row r="248" spans="1:21" s="783" customFormat="1">
      <c r="A248" s="781"/>
      <c r="B248" s="788"/>
      <c r="C248" s="789" t="s">
        <v>724</v>
      </c>
      <c r="D248" s="790" t="s">
        <v>736</v>
      </c>
      <c r="E248" s="759"/>
      <c r="F248" s="759" t="s">
        <v>277</v>
      </c>
      <c r="G248" s="673"/>
      <c r="H248" s="673"/>
      <c r="I248" s="673"/>
      <c r="J248" s="673"/>
      <c r="K248" s="687"/>
      <c r="L248" s="755"/>
      <c r="N248" s="731"/>
      <c r="O248" s="785"/>
      <c r="P248" s="733"/>
      <c r="Q248" s="733"/>
      <c r="R248" s="733"/>
      <c r="S248" s="733"/>
      <c r="T248" s="786"/>
      <c r="U248" s="787"/>
    </row>
    <row r="249" spans="1:21" s="783" customFormat="1">
      <c r="A249" s="781"/>
      <c r="B249" s="788"/>
      <c r="C249" s="789" t="s">
        <v>724</v>
      </c>
      <c r="D249" s="790" t="s">
        <v>737</v>
      </c>
      <c r="E249" s="759"/>
      <c r="F249" s="759" t="s">
        <v>277</v>
      </c>
      <c r="G249" s="673"/>
      <c r="H249" s="673"/>
      <c r="I249" s="673"/>
      <c r="J249" s="673"/>
      <c r="K249" s="687"/>
      <c r="L249" s="755"/>
      <c r="N249" s="731"/>
      <c r="O249" s="785"/>
      <c r="P249" s="733"/>
      <c r="Q249" s="733"/>
      <c r="R249" s="733"/>
      <c r="S249" s="733"/>
      <c r="T249" s="786"/>
      <c r="U249" s="787"/>
    </row>
    <row r="250" spans="1:21" s="783" customFormat="1">
      <c r="A250" s="781"/>
      <c r="B250" s="788"/>
      <c r="C250" s="789" t="s">
        <v>724</v>
      </c>
      <c r="D250" s="790" t="s">
        <v>738</v>
      </c>
      <c r="E250" s="759"/>
      <c r="F250" s="759" t="s">
        <v>277</v>
      </c>
      <c r="G250" s="673"/>
      <c r="H250" s="673"/>
      <c r="I250" s="673"/>
      <c r="J250" s="673"/>
      <c r="K250" s="687"/>
      <c r="L250" s="755"/>
      <c r="N250" s="731"/>
      <c r="O250" s="785"/>
      <c r="P250" s="733"/>
      <c r="Q250" s="733"/>
      <c r="R250" s="733"/>
      <c r="S250" s="733"/>
      <c r="T250" s="786"/>
      <c r="U250" s="787"/>
    </row>
    <row r="251" spans="1:21" s="783" customFormat="1">
      <c r="A251" s="781"/>
      <c r="B251" s="788"/>
      <c r="C251" s="789" t="s">
        <v>724</v>
      </c>
      <c r="D251" s="790" t="s">
        <v>739</v>
      </c>
      <c r="E251" s="759"/>
      <c r="F251" s="759" t="s">
        <v>277</v>
      </c>
      <c r="G251" s="673"/>
      <c r="H251" s="673"/>
      <c r="I251" s="673"/>
      <c r="J251" s="673"/>
      <c r="K251" s="687"/>
      <c r="L251" s="755"/>
      <c r="N251" s="731"/>
      <c r="O251" s="785"/>
      <c r="P251" s="733"/>
      <c r="Q251" s="733"/>
      <c r="R251" s="733"/>
      <c r="S251" s="733"/>
      <c r="T251" s="786"/>
      <c r="U251" s="787"/>
    </row>
    <row r="252" spans="1:21" s="783" customFormat="1">
      <c r="A252" s="781"/>
      <c r="B252" s="788" t="s">
        <v>443</v>
      </c>
      <c r="C252" s="782" t="s">
        <v>740</v>
      </c>
      <c r="E252" s="759"/>
      <c r="F252" s="759"/>
      <c r="G252" s="673"/>
      <c r="H252" s="673"/>
      <c r="I252" s="673"/>
      <c r="J252" s="673"/>
      <c r="K252" s="687"/>
      <c r="L252" s="755"/>
      <c r="N252" s="731"/>
      <c r="O252" s="785"/>
      <c r="P252" s="733"/>
      <c r="Q252" s="733"/>
      <c r="R252" s="733"/>
      <c r="S252" s="733"/>
      <c r="T252" s="786"/>
      <c r="U252" s="787"/>
    </row>
    <row r="253" spans="1:21" s="783" customFormat="1">
      <c r="A253" s="781"/>
      <c r="B253" s="788"/>
      <c r="C253" s="789" t="s">
        <v>724</v>
      </c>
      <c r="D253" s="790" t="s">
        <v>741</v>
      </c>
      <c r="E253" s="759"/>
      <c r="F253" s="759" t="s">
        <v>240</v>
      </c>
      <c r="G253" s="673"/>
      <c r="H253" s="673"/>
      <c r="I253" s="673"/>
      <c r="J253" s="673"/>
      <c r="K253" s="687"/>
      <c r="L253" s="755"/>
      <c r="N253" s="731"/>
      <c r="O253" s="785"/>
      <c r="P253" s="733"/>
      <c r="Q253" s="733"/>
      <c r="R253" s="733"/>
      <c r="S253" s="733"/>
      <c r="T253" s="786"/>
      <c r="U253" s="787"/>
    </row>
    <row r="254" spans="1:21" s="783" customFormat="1">
      <c r="A254" s="781"/>
      <c r="B254" s="788"/>
      <c r="C254" s="789" t="s">
        <v>724</v>
      </c>
      <c r="D254" s="790" t="s">
        <v>742</v>
      </c>
      <c r="E254" s="759"/>
      <c r="F254" s="759" t="s">
        <v>240</v>
      </c>
      <c r="G254" s="673"/>
      <c r="H254" s="673"/>
      <c r="I254" s="673"/>
      <c r="J254" s="673"/>
      <c r="K254" s="687"/>
      <c r="L254" s="755"/>
      <c r="N254" s="731"/>
      <c r="O254" s="785"/>
      <c r="P254" s="733"/>
      <c r="Q254" s="733"/>
      <c r="R254" s="733"/>
      <c r="S254" s="733"/>
      <c r="T254" s="786"/>
      <c r="U254" s="787"/>
    </row>
    <row r="255" spans="1:21" s="783" customFormat="1">
      <c r="A255" s="781"/>
      <c r="B255" s="788"/>
      <c r="C255" s="789" t="s">
        <v>724</v>
      </c>
      <c r="D255" s="790" t="s">
        <v>743</v>
      </c>
      <c r="E255" s="759"/>
      <c r="F255" s="759" t="s">
        <v>87</v>
      </c>
      <c r="G255" s="673"/>
      <c r="H255" s="673"/>
      <c r="I255" s="673"/>
      <c r="J255" s="673"/>
      <c r="K255" s="687"/>
      <c r="L255" s="755"/>
      <c r="N255" s="731"/>
      <c r="O255" s="785"/>
      <c r="P255" s="733"/>
      <c r="Q255" s="733"/>
      <c r="R255" s="733"/>
      <c r="S255" s="733"/>
      <c r="T255" s="786"/>
      <c r="U255" s="787"/>
    </row>
    <row r="256" spans="1:21" s="783" customFormat="1">
      <c r="A256" s="781"/>
      <c r="B256" s="788"/>
      <c r="C256" s="789" t="s">
        <v>724</v>
      </c>
      <c r="D256" s="790" t="s">
        <v>744</v>
      </c>
      <c r="E256" s="759"/>
      <c r="F256" s="759" t="s">
        <v>87</v>
      </c>
      <c r="G256" s="673"/>
      <c r="H256" s="673"/>
      <c r="I256" s="673"/>
      <c r="J256" s="673"/>
      <c r="K256" s="687"/>
      <c r="L256" s="755"/>
      <c r="N256" s="731"/>
      <c r="O256" s="785"/>
      <c r="P256" s="733"/>
      <c r="Q256" s="733"/>
      <c r="R256" s="733"/>
      <c r="S256" s="733"/>
      <c r="T256" s="786"/>
      <c r="U256" s="787"/>
    </row>
    <row r="257" spans="1:21" s="783" customFormat="1">
      <c r="A257" s="781"/>
      <c r="B257" s="788" t="s">
        <v>745</v>
      </c>
      <c r="C257" s="782" t="s">
        <v>500</v>
      </c>
      <c r="E257" s="759"/>
      <c r="F257" s="759"/>
      <c r="G257" s="673"/>
      <c r="H257" s="673"/>
      <c r="I257" s="673"/>
      <c r="J257" s="673"/>
      <c r="K257" s="687"/>
      <c r="L257" s="755"/>
      <c r="N257" s="731"/>
      <c r="O257" s="785"/>
      <c r="P257" s="733"/>
      <c r="Q257" s="733"/>
      <c r="R257" s="733"/>
      <c r="S257" s="733"/>
      <c r="T257" s="786"/>
      <c r="U257" s="787"/>
    </row>
    <row r="258" spans="1:21" s="783" customFormat="1" ht="43.5">
      <c r="A258" s="781"/>
      <c r="B258" s="788"/>
      <c r="C258" s="789" t="s">
        <v>724</v>
      </c>
      <c r="D258" s="790" t="s">
        <v>746</v>
      </c>
      <c r="E258" s="759"/>
      <c r="F258" s="759" t="s">
        <v>240</v>
      </c>
      <c r="G258" s="673"/>
      <c r="H258" s="673"/>
      <c r="I258" s="673"/>
      <c r="J258" s="673"/>
      <c r="K258" s="687"/>
      <c r="L258" s="755"/>
      <c r="N258" s="731"/>
      <c r="O258" s="785"/>
      <c r="P258" s="733"/>
      <c r="Q258" s="733"/>
      <c r="R258" s="733"/>
      <c r="S258" s="733"/>
      <c r="T258" s="786"/>
      <c r="U258" s="787"/>
    </row>
    <row r="259" spans="1:21" s="783" customFormat="1">
      <c r="A259" s="781"/>
      <c r="B259" s="788"/>
      <c r="C259" s="789" t="s">
        <v>724</v>
      </c>
      <c r="D259" s="790" t="s">
        <v>747</v>
      </c>
      <c r="E259" s="759"/>
      <c r="F259" s="759" t="s">
        <v>240</v>
      </c>
      <c r="G259" s="673"/>
      <c r="H259" s="673"/>
      <c r="I259" s="673"/>
      <c r="J259" s="673"/>
      <c r="K259" s="687"/>
      <c r="L259" s="755"/>
      <c r="N259" s="731"/>
      <c r="O259" s="785"/>
      <c r="P259" s="733"/>
      <c r="Q259" s="733"/>
      <c r="R259" s="733"/>
      <c r="S259" s="733"/>
      <c r="T259" s="786"/>
      <c r="U259" s="787"/>
    </row>
    <row r="260" spans="1:21" s="783" customFormat="1">
      <c r="A260" s="781"/>
      <c r="B260" s="788" t="s">
        <v>748</v>
      </c>
      <c r="C260" s="782" t="s">
        <v>505</v>
      </c>
      <c r="E260" s="759"/>
      <c r="F260" s="759"/>
      <c r="G260" s="673"/>
      <c r="H260" s="673"/>
      <c r="I260" s="673"/>
      <c r="J260" s="673"/>
      <c r="K260" s="687"/>
      <c r="L260" s="755"/>
      <c r="N260" s="731"/>
      <c r="O260" s="785"/>
      <c r="P260" s="733"/>
      <c r="Q260" s="733"/>
      <c r="R260" s="733"/>
      <c r="S260" s="733"/>
      <c r="T260" s="786"/>
      <c r="U260" s="787"/>
    </row>
    <row r="261" spans="1:21" s="783" customFormat="1">
      <c r="A261" s="781"/>
      <c r="B261" s="788"/>
      <c r="C261" s="789" t="s">
        <v>724</v>
      </c>
      <c r="D261" s="790" t="s">
        <v>506</v>
      </c>
      <c r="E261" s="759"/>
      <c r="F261" s="759" t="s">
        <v>240</v>
      </c>
      <c r="G261" s="673" t="s">
        <v>640</v>
      </c>
      <c r="H261" s="673"/>
      <c r="I261" s="673"/>
      <c r="J261" s="673"/>
      <c r="K261" s="687"/>
      <c r="L261" s="755"/>
      <c r="N261" s="731"/>
      <c r="O261" s="785"/>
      <c r="P261" s="733"/>
      <c r="Q261" s="733"/>
      <c r="R261" s="733"/>
      <c r="S261" s="733"/>
      <c r="T261" s="786"/>
      <c r="U261" s="787"/>
    </row>
    <row r="262" spans="1:21" s="783" customFormat="1">
      <c r="A262" s="781"/>
      <c r="B262" s="788"/>
      <c r="C262" s="789" t="s">
        <v>724</v>
      </c>
      <c r="D262" s="790" t="s">
        <v>508</v>
      </c>
      <c r="E262" s="759"/>
      <c r="F262" s="759" t="s">
        <v>240</v>
      </c>
      <c r="G262" s="673" t="s">
        <v>640</v>
      </c>
      <c r="H262" s="673"/>
      <c r="I262" s="673"/>
      <c r="J262" s="673"/>
      <c r="K262" s="687"/>
      <c r="L262" s="755"/>
      <c r="N262" s="731"/>
      <c r="O262" s="785"/>
      <c r="P262" s="733"/>
      <c r="Q262" s="733"/>
      <c r="R262" s="733"/>
      <c r="S262" s="733"/>
      <c r="T262" s="786"/>
      <c r="U262" s="787"/>
    </row>
    <row r="263" spans="1:21" s="783" customFormat="1">
      <c r="A263" s="781"/>
      <c r="B263" s="788"/>
      <c r="C263" s="789" t="s">
        <v>724</v>
      </c>
      <c r="D263" s="790" t="s">
        <v>749</v>
      </c>
      <c r="E263" s="759"/>
      <c r="F263" s="759" t="s">
        <v>87</v>
      </c>
      <c r="G263" s="673"/>
      <c r="H263" s="673"/>
      <c r="I263" s="673"/>
      <c r="J263" s="673"/>
      <c r="K263" s="687"/>
      <c r="L263" s="755"/>
      <c r="N263" s="731"/>
      <c r="O263" s="785"/>
      <c r="P263" s="733"/>
      <c r="Q263" s="733"/>
      <c r="R263" s="733"/>
      <c r="S263" s="733"/>
      <c r="T263" s="786"/>
      <c r="U263" s="787"/>
    </row>
    <row r="264" spans="1:21" s="783" customFormat="1">
      <c r="A264" s="781"/>
      <c r="B264" s="788"/>
      <c r="C264" s="789" t="s">
        <v>724</v>
      </c>
      <c r="D264" s="790" t="s">
        <v>750</v>
      </c>
      <c r="E264" s="759"/>
      <c r="F264" s="759" t="s">
        <v>87</v>
      </c>
      <c r="G264" s="673"/>
      <c r="H264" s="673"/>
      <c r="I264" s="673"/>
      <c r="J264" s="673"/>
      <c r="K264" s="687"/>
      <c r="L264" s="755"/>
      <c r="N264" s="731"/>
      <c r="O264" s="785"/>
      <c r="P264" s="733"/>
      <c r="Q264" s="733"/>
      <c r="R264" s="733"/>
      <c r="S264" s="733"/>
      <c r="T264" s="786"/>
      <c r="U264" s="787"/>
    </row>
    <row r="265" spans="1:21" s="783" customFormat="1">
      <c r="A265" s="781"/>
      <c r="B265" s="788" t="s">
        <v>751</v>
      </c>
      <c r="C265" s="782" t="s">
        <v>543</v>
      </c>
      <c r="E265" s="759"/>
      <c r="F265" s="759"/>
      <c r="G265" s="673"/>
      <c r="H265" s="673"/>
      <c r="I265" s="673"/>
      <c r="J265" s="673"/>
      <c r="K265" s="687"/>
      <c r="L265" s="755"/>
      <c r="N265" s="731"/>
      <c r="O265" s="785"/>
      <c r="P265" s="733"/>
      <c r="Q265" s="733"/>
      <c r="R265" s="733"/>
      <c r="S265" s="733"/>
      <c r="T265" s="786"/>
      <c r="U265" s="787"/>
    </row>
    <row r="266" spans="1:21" s="783" customFormat="1">
      <c r="A266" s="781"/>
      <c r="B266" s="788"/>
      <c r="C266" s="789" t="s">
        <v>724</v>
      </c>
      <c r="D266" s="790" t="s">
        <v>752</v>
      </c>
      <c r="E266" s="759"/>
      <c r="F266" s="759" t="s">
        <v>240</v>
      </c>
      <c r="G266" s="673"/>
      <c r="H266" s="673"/>
      <c r="I266" s="673"/>
      <c r="J266" s="673"/>
      <c r="K266" s="687"/>
      <c r="L266" s="755"/>
      <c r="N266" s="731"/>
      <c r="O266" s="785"/>
      <c r="P266" s="733"/>
      <c r="Q266" s="733"/>
      <c r="R266" s="733"/>
      <c r="S266" s="733"/>
      <c r="T266" s="786"/>
      <c r="U266" s="787"/>
    </row>
    <row r="267" spans="1:21" s="783" customFormat="1">
      <c r="A267" s="781"/>
      <c r="B267" s="788"/>
      <c r="C267" s="789" t="s">
        <v>724</v>
      </c>
      <c r="D267" s="790" t="s">
        <v>753</v>
      </c>
      <c r="E267" s="759"/>
      <c r="F267" s="759" t="s">
        <v>240</v>
      </c>
      <c r="G267" s="673"/>
      <c r="H267" s="673"/>
      <c r="I267" s="673"/>
      <c r="J267" s="673"/>
      <c r="K267" s="687"/>
      <c r="L267" s="755"/>
      <c r="N267" s="731"/>
      <c r="O267" s="785"/>
      <c r="P267" s="733"/>
      <c r="Q267" s="733"/>
      <c r="R267" s="733"/>
      <c r="S267" s="733"/>
      <c r="T267" s="786"/>
      <c r="U267" s="787"/>
    </row>
    <row r="268" spans="1:21" s="783" customFormat="1">
      <c r="A268" s="781"/>
      <c r="B268" s="788" t="s">
        <v>754</v>
      </c>
      <c r="C268" s="782" t="s">
        <v>547</v>
      </c>
      <c r="E268" s="759"/>
      <c r="F268" s="759"/>
      <c r="G268" s="673"/>
      <c r="H268" s="673"/>
      <c r="I268" s="673"/>
      <c r="J268" s="673"/>
      <c r="K268" s="687"/>
      <c r="L268" s="755"/>
      <c r="N268" s="731"/>
      <c r="O268" s="785"/>
      <c r="P268" s="733"/>
      <c r="Q268" s="733"/>
      <c r="R268" s="733"/>
      <c r="S268" s="733"/>
      <c r="T268" s="786"/>
      <c r="U268" s="787"/>
    </row>
    <row r="269" spans="1:21" s="783" customFormat="1">
      <c r="A269" s="781"/>
      <c r="B269" s="788"/>
      <c r="C269" s="789" t="s">
        <v>724</v>
      </c>
      <c r="D269" s="790" t="s">
        <v>548</v>
      </c>
      <c r="E269" s="759"/>
      <c r="F269" s="759" t="s">
        <v>240</v>
      </c>
      <c r="G269" s="673"/>
      <c r="H269" s="673"/>
      <c r="I269" s="673"/>
      <c r="J269" s="673"/>
      <c r="K269" s="687"/>
      <c r="L269" s="755"/>
      <c r="N269" s="731"/>
      <c r="O269" s="785"/>
      <c r="P269" s="733"/>
      <c r="Q269" s="733"/>
      <c r="R269" s="733"/>
      <c r="S269" s="733"/>
      <c r="T269" s="786"/>
      <c r="U269" s="787"/>
    </row>
    <row r="270" spans="1:21" s="783" customFormat="1">
      <c r="A270" s="781"/>
      <c r="B270" s="788"/>
      <c r="C270" s="789" t="s">
        <v>724</v>
      </c>
      <c r="D270" s="790" t="s">
        <v>549</v>
      </c>
      <c r="E270" s="759"/>
      <c r="F270" s="759" t="s">
        <v>240</v>
      </c>
      <c r="G270" s="673"/>
      <c r="H270" s="673"/>
      <c r="I270" s="673"/>
      <c r="J270" s="673"/>
      <c r="K270" s="687"/>
      <c r="L270" s="755"/>
      <c r="N270" s="731"/>
      <c r="O270" s="785"/>
      <c r="P270" s="733"/>
      <c r="Q270" s="733"/>
      <c r="R270" s="733"/>
      <c r="S270" s="733"/>
      <c r="T270" s="786"/>
      <c r="U270" s="787"/>
    </row>
    <row r="271" spans="1:21" s="783" customFormat="1">
      <c r="A271" s="781"/>
      <c r="B271" s="788"/>
      <c r="C271" s="789" t="s">
        <v>724</v>
      </c>
      <c r="D271" s="790" t="s">
        <v>550</v>
      </c>
      <c r="E271" s="759"/>
      <c r="F271" s="759" t="s">
        <v>240</v>
      </c>
      <c r="G271" s="673"/>
      <c r="H271" s="673"/>
      <c r="I271" s="673"/>
      <c r="J271" s="673"/>
      <c r="K271" s="687"/>
      <c r="L271" s="755"/>
      <c r="N271" s="731"/>
      <c r="O271" s="785"/>
      <c r="P271" s="733"/>
      <c r="Q271" s="733"/>
      <c r="R271" s="733"/>
      <c r="S271" s="733"/>
      <c r="T271" s="786"/>
      <c r="U271" s="787"/>
    </row>
    <row r="272" spans="1:21" s="783" customFormat="1">
      <c r="A272" s="781"/>
      <c r="B272" s="788" t="s">
        <v>755</v>
      </c>
      <c r="C272" s="782" t="s">
        <v>756</v>
      </c>
      <c r="E272" s="759"/>
      <c r="F272" s="759"/>
      <c r="G272" s="673"/>
      <c r="H272" s="673"/>
      <c r="I272" s="673"/>
      <c r="J272" s="673"/>
      <c r="K272" s="687"/>
      <c r="L272" s="755"/>
      <c r="N272" s="731"/>
      <c r="O272" s="785"/>
      <c r="P272" s="733"/>
      <c r="Q272" s="733"/>
      <c r="R272" s="733"/>
      <c r="S272" s="733"/>
      <c r="T272" s="786"/>
      <c r="U272" s="787"/>
    </row>
    <row r="273" spans="1:21" s="783" customFormat="1">
      <c r="A273" s="781"/>
      <c r="B273" s="788"/>
      <c r="C273" s="789" t="s">
        <v>724</v>
      </c>
      <c r="D273" s="790" t="s">
        <v>757</v>
      </c>
      <c r="E273" s="759"/>
      <c r="F273" s="759" t="s">
        <v>240</v>
      </c>
      <c r="G273" s="673"/>
      <c r="H273" s="673"/>
      <c r="I273" s="673"/>
      <c r="J273" s="673"/>
      <c r="K273" s="687"/>
      <c r="L273" s="755"/>
      <c r="N273" s="731"/>
      <c r="O273" s="785"/>
      <c r="P273" s="733"/>
      <c r="Q273" s="733"/>
      <c r="R273" s="733"/>
      <c r="S273" s="733"/>
      <c r="T273" s="786"/>
      <c r="U273" s="787"/>
    </row>
    <row r="274" spans="1:21" s="783" customFormat="1">
      <c r="A274" s="781"/>
      <c r="B274" s="788"/>
      <c r="C274" s="789" t="s">
        <v>724</v>
      </c>
      <c r="D274" s="790" t="s">
        <v>758</v>
      </c>
      <c r="E274" s="759"/>
      <c r="F274" s="759" t="s">
        <v>87</v>
      </c>
      <c r="G274" s="673"/>
      <c r="H274" s="673"/>
      <c r="I274" s="673"/>
      <c r="J274" s="673"/>
      <c r="K274" s="687"/>
      <c r="L274" s="755"/>
      <c r="N274" s="731"/>
      <c r="O274" s="785"/>
      <c r="P274" s="733"/>
      <c r="Q274" s="733"/>
      <c r="R274" s="733"/>
      <c r="S274" s="733"/>
      <c r="T274" s="786"/>
      <c r="U274" s="787"/>
    </row>
    <row r="275" spans="1:21" s="783" customFormat="1">
      <c r="A275" s="781"/>
      <c r="B275" s="788"/>
      <c r="C275" s="789" t="s">
        <v>724</v>
      </c>
      <c r="D275" s="790" t="s">
        <v>556</v>
      </c>
      <c r="E275" s="759"/>
      <c r="F275" s="759" t="s">
        <v>277</v>
      </c>
      <c r="G275" s="673"/>
      <c r="H275" s="673"/>
      <c r="I275" s="673"/>
      <c r="J275" s="673"/>
      <c r="K275" s="687"/>
      <c r="L275" s="755"/>
      <c r="N275" s="731"/>
      <c r="O275" s="785"/>
      <c r="P275" s="733"/>
      <c r="Q275" s="733"/>
      <c r="R275" s="733"/>
      <c r="S275" s="733"/>
      <c r="T275" s="786"/>
      <c r="U275" s="787"/>
    </row>
    <row r="276" spans="1:21" s="783" customFormat="1">
      <c r="A276" s="794"/>
      <c r="B276" s="795"/>
      <c r="C276" s="796" t="s">
        <v>724</v>
      </c>
      <c r="D276" s="797" t="s">
        <v>759</v>
      </c>
      <c r="E276" s="798"/>
      <c r="F276" s="798" t="s">
        <v>277</v>
      </c>
      <c r="G276" s="799"/>
      <c r="H276" s="799"/>
      <c r="I276" s="799"/>
      <c r="J276" s="799"/>
      <c r="K276" s="800"/>
      <c r="L276" s="801"/>
      <c r="N276" s="731"/>
      <c r="O276" s="785"/>
      <c r="P276" s="733"/>
      <c r="Q276" s="733"/>
      <c r="R276" s="733"/>
      <c r="S276" s="733"/>
      <c r="T276" s="786"/>
      <c r="U276" s="787"/>
    </row>
    <row r="277" spans="1:21">
      <c r="A277" s="1188"/>
      <c r="B277" s="1189"/>
      <c r="C277" s="621"/>
      <c r="D277" s="1190"/>
      <c r="E277" s="1191"/>
      <c r="F277" s="609"/>
      <c r="G277" s="1192"/>
      <c r="H277" s="1193"/>
      <c r="I277" s="1192"/>
      <c r="J277" s="1193"/>
      <c r="K277" s="1194"/>
      <c r="L277" s="1195"/>
      <c r="N277" s="14"/>
      <c r="O277" s="15"/>
      <c r="P277" s="20"/>
      <c r="Q277" s="17"/>
      <c r="R277" s="20"/>
      <c r="S277" s="16"/>
      <c r="T277" s="18"/>
      <c r="U277" s="13"/>
    </row>
    <row r="278" spans="1:21" ht="23.25">
      <c r="A278" s="136"/>
      <c r="B278" s="777"/>
      <c r="C278" s="596"/>
      <c r="D278" s="139"/>
      <c r="E278" s="140"/>
      <c r="F278" s="803" t="s">
        <v>13</v>
      </c>
      <c r="G278" s="122"/>
      <c r="H278" s="817"/>
      <c r="I278" s="818"/>
      <c r="J278" s="817"/>
      <c r="K278" s="819"/>
      <c r="L278" s="802"/>
      <c r="N278" s="233"/>
      <c r="O278" s="7"/>
      <c r="P278" s="2"/>
      <c r="Q278" s="8"/>
      <c r="R278" s="147"/>
      <c r="S278" s="2"/>
      <c r="T278" s="9"/>
      <c r="U278" s="13"/>
    </row>
    <row r="279" spans="1:21" s="578" customFormat="1" ht="24">
      <c r="A279" s="804"/>
      <c r="B279" s="805"/>
      <c r="C279" s="806"/>
      <c r="D279" s="821" t="s">
        <v>760</v>
      </c>
      <c r="E279" s="816"/>
      <c r="F279" s="803" t="s">
        <v>19</v>
      </c>
      <c r="G279" s="807"/>
      <c r="H279" s="820"/>
      <c r="I279" s="808"/>
      <c r="J279" s="820"/>
      <c r="K279" s="809"/>
      <c r="L279" s="822"/>
      <c r="N279" s="810"/>
      <c r="O279" s="811"/>
      <c r="P279" s="812"/>
      <c r="Q279" s="813"/>
      <c r="R279" s="814"/>
      <c r="S279" s="812"/>
      <c r="T279" s="815"/>
      <c r="U279" s="582"/>
    </row>
    <row r="280" spans="1:21" ht="22.5" thickBot="1">
      <c r="A280" s="1492"/>
      <c r="B280" s="1493"/>
      <c r="C280" s="1493"/>
      <c r="D280" s="1493"/>
      <c r="E280" s="1493"/>
      <c r="F280" s="1494"/>
      <c r="G280" s="149"/>
      <c r="H280" s="149"/>
      <c r="I280" s="149"/>
      <c r="J280" s="149"/>
      <c r="K280" s="689"/>
      <c r="L280" s="757"/>
      <c r="N280" s="234"/>
      <c r="O280" s="13"/>
      <c r="P280" s="13"/>
      <c r="Q280" s="18"/>
      <c r="R280" s="18"/>
      <c r="S280" s="18"/>
      <c r="T280" s="18"/>
      <c r="U280" s="13"/>
    </row>
    <row r="281" spans="1:21">
      <c r="N281" s="234"/>
      <c r="O281" s="13"/>
      <c r="P281" s="13"/>
      <c r="Q281" s="13"/>
      <c r="R281" s="13"/>
      <c r="S281" s="13"/>
      <c r="T281" s="13"/>
      <c r="U281" s="13"/>
    </row>
    <row r="282" spans="1:21">
      <c r="N282" s="234"/>
      <c r="O282" s="13"/>
      <c r="P282" s="13"/>
      <c r="Q282" s="13"/>
      <c r="R282" s="13"/>
      <c r="S282" s="13"/>
      <c r="T282" s="13"/>
      <c r="U282" s="13"/>
    </row>
    <row r="285" spans="1:21">
      <c r="J285" s="12" t="s">
        <v>502</v>
      </c>
    </row>
  </sheetData>
  <mergeCells count="18">
    <mergeCell ref="A7:A9"/>
    <mergeCell ref="B7:D9"/>
    <mergeCell ref="E7:E9"/>
    <mergeCell ref="F7:F9"/>
    <mergeCell ref="G7:H7"/>
    <mergeCell ref="T7:T8"/>
    <mergeCell ref="I7:J7"/>
    <mergeCell ref="L7:L8"/>
    <mergeCell ref="N7:N9"/>
    <mergeCell ref="O7:O9"/>
    <mergeCell ref="P7:Q7"/>
    <mergeCell ref="R7:S7"/>
    <mergeCell ref="K7:K8"/>
    <mergeCell ref="A1:L1"/>
    <mergeCell ref="A2:L2"/>
    <mergeCell ref="A3:L3"/>
    <mergeCell ref="T4:T5"/>
    <mergeCell ref="N6:T6"/>
  </mergeCells>
  <phoneticPr fontId="105" type="noConversion"/>
  <printOptions horizontalCentered="1"/>
  <pageMargins left="0.2" right="0.2" top="0.5" bottom="0.5" header="0.3" footer="0.3"/>
  <pageSetup paperSize="9" scale="69" fitToHeight="0" orientation="landscape" r:id="rId1"/>
  <colBreaks count="1" manualBreakCount="1">
    <brk id="12" max="26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632F-4FC1-4CF9-ACB4-67D6CB0F5C25}">
  <sheetPr>
    <tabColor rgb="FF92D050"/>
    <pageSetUpPr fitToPage="1"/>
  </sheetPr>
  <dimension ref="A1:U275"/>
  <sheetViews>
    <sheetView topLeftCell="A279" zoomScale="85" zoomScaleNormal="85" zoomScaleSheetLayoutView="85" workbookViewId="0">
      <selection activeCell="G227" sqref="G227"/>
    </sheetView>
  </sheetViews>
  <sheetFormatPr defaultColWidth="9.140625" defaultRowHeight="21.75"/>
  <cols>
    <col min="1" max="1" width="6.42578125" style="12" customWidth="1"/>
    <col min="2" max="2" width="6.140625" style="778" customWidth="1"/>
    <col min="3" max="3" width="7" style="1332" customWidth="1"/>
    <col min="4" max="4" width="55.85546875" style="12" customWidth="1"/>
    <col min="5" max="5" width="10.7109375" style="1491" customWidth="1"/>
    <col min="6" max="6" width="11.140625" style="12" customWidth="1"/>
    <col min="7" max="11" width="17.140625" style="12" customWidth="1"/>
    <col min="12" max="12" width="19" style="225" customWidth="1"/>
    <col min="13" max="13" width="9.7109375" style="12" customWidth="1"/>
    <col min="14" max="14" width="9.85546875" style="21" bestFit="1" customWidth="1"/>
    <col min="15" max="15" width="15" style="12" bestFit="1" customWidth="1"/>
    <col min="16" max="16" width="12.140625" style="12" customWidth="1"/>
    <col min="17" max="20" width="14.140625" style="12" customWidth="1"/>
    <col min="21" max="16384" width="9.140625" style="12"/>
  </cols>
  <sheetData>
    <row r="1" spans="1:21" s="10" customFormat="1" ht="39" hidden="1" thickBot="1">
      <c r="A1" s="1660" t="s">
        <v>0</v>
      </c>
      <c r="B1" s="1661"/>
      <c r="C1" s="1661"/>
      <c r="D1" s="1661"/>
      <c r="E1" s="1661"/>
      <c r="F1" s="1661"/>
      <c r="G1" s="1661"/>
      <c r="H1" s="1661"/>
      <c r="I1" s="1661"/>
      <c r="J1" s="1661"/>
      <c r="K1" s="1661"/>
      <c r="L1" s="1662"/>
      <c r="N1" s="226"/>
    </row>
    <row r="2" spans="1:21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1665"/>
      <c r="N2" s="227"/>
      <c r="O2" s="11"/>
      <c r="P2" s="11"/>
      <c r="Q2" s="11"/>
      <c r="R2" s="11"/>
      <c r="S2" s="11"/>
      <c r="T2" s="11"/>
      <c r="U2" s="11"/>
    </row>
    <row r="3" spans="1:21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8"/>
      <c r="N3" s="227"/>
      <c r="O3" s="11"/>
      <c r="P3" s="11"/>
      <c r="Q3" s="11"/>
      <c r="R3" s="11"/>
      <c r="S3" s="11"/>
      <c r="T3" s="11"/>
      <c r="U3" s="11"/>
    </row>
    <row r="4" spans="1:21" s="10" customFormat="1" ht="26.25" customHeight="1">
      <c r="A4" s="153" t="s">
        <v>1</v>
      </c>
      <c r="B4" s="760"/>
      <c r="C4" s="1317"/>
      <c r="D4" s="89" t="s">
        <v>559</v>
      </c>
      <c r="E4" s="1549"/>
      <c r="F4" s="92"/>
      <c r="G4" s="92"/>
      <c r="H4" s="91"/>
      <c r="I4" s="154" t="s">
        <v>108</v>
      </c>
      <c r="J4" s="98"/>
      <c r="K4" s="675"/>
      <c r="L4" s="744"/>
      <c r="N4" s="227"/>
      <c r="O4" s="11"/>
      <c r="P4" s="11"/>
      <c r="Q4" s="11"/>
      <c r="R4" s="11"/>
      <c r="S4" s="11"/>
      <c r="T4" s="1669"/>
      <c r="U4" s="11"/>
    </row>
    <row r="5" spans="1:21" s="10" customFormat="1" ht="27" customHeight="1">
      <c r="A5" s="155" t="s">
        <v>109</v>
      </c>
      <c r="B5" s="575"/>
      <c r="C5" s="1318"/>
      <c r="D5" s="94" t="s">
        <v>761</v>
      </c>
      <c r="E5" s="1550"/>
      <c r="F5" s="97"/>
      <c r="G5" s="97"/>
      <c r="H5" s="96"/>
      <c r="I5" s="154" t="s">
        <v>111</v>
      </c>
      <c r="J5" s="98"/>
      <c r="K5" s="675"/>
      <c r="L5" s="744"/>
      <c r="N5" s="227"/>
      <c r="O5" s="11"/>
      <c r="P5" s="11"/>
      <c r="Q5" s="11"/>
      <c r="R5" s="11"/>
      <c r="S5" s="11"/>
      <c r="T5" s="1669"/>
      <c r="U5" s="11"/>
    </row>
    <row r="6" spans="1:21" s="10" customFormat="1" ht="27" thickBot="1">
      <c r="A6" s="156" t="s">
        <v>3</v>
      </c>
      <c r="B6" s="761"/>
      <c r="C6" s="1319"/>
      <c r="D6" s="101" t="s">
        <v>561</v>
      </c>
      <c r="E6" s="1551"/>
      <c r="F6" s="104"/>
      <c r="G6" s="104"/>
      <c r="H6" s="103"/>
      <c r="I6" s="157" t="s">
        <v>113</v>
      </c>
      <c r="J6" s="158"/>
      <c r="K6" s="676"/>
      <c r="L6" s="745"/>
      <c r="N6" s="1670"/>
      <c r="O6" s="1670"/>
      <c r="P6" s="1670"/>
      <c r="Q6" s="1670"/>
      <c r="R6" s="1670"/>
      <c r="S6" s="1670"/>
      <c r="T6" s="1670"/>
      <c r="U6" s="11"/>
    </row>
    <row r="7" spans="1:21" s="28" customFormat="1">
      <c r="A7" s="1686" t="s">
        <v>6</v>
      </c>
      <c r="B7" s="1689" t="s">
        <v>7</v>
      </c>
      <c r="C7" s="1690"/>
      <c r="D7" s="1691"/>
      <c r="E7" s="1713" t="s">
        <v>8</v>
      </c>
      <c r="F7" s="1701" t="s">
        <v>9</v>
      </c>
      <c r="G7" s="1678" t="s">
        <v>10</v>
      </c>
      <c r="H7" s="1679"/>
      <c r="I7" s="1678" t="s">
        <v>11</v>
      </c>
      <c r="J7" s="1679"/>
      <c r="K7" s="1680" t="s">
        <v>12</v>
      </c>
      <c r="L7" s="1682" t="s">
        <v>13</v>
      </c>
      <c r="N7" s="1684"/>
      <c r="O7" s="1685"/>
      <c r="P7" s="1671"/>
      <c r="Q7" s="1671"/>
      <c r="R7" s="1671"/>
      <c r="S7" s="1671"/>
      <c r="T7" s="1672"/>
      <c r="U7" s="15"/>
    </row>
    <row r="8" spans="1:21" s="28" customFormat="1">
      <c r="A8" s="1687"/>
      <c r="B8" s="1692"/>
      <c r="C8" s="1693"/>
      <c r="D8" s="1694"/>
      <c r="E8" s="1714"/>
      <c r="F8" s="1702"/>
      <c r="G8" s="105" t="s">
        <v>9</v>
      </c>
      <c r="H8" s="106" t="s">
        <v>13</v>
      </c>
      <c r="I8" s="105" t="s">
        <v>9</v>
      </c>
      <c r="J8" s="106" t="s">
        <v>13</v>
      </c>
      <c r="K8" s="1681"/>
      <c r="L8" s="1683"/>
      <c r="N8" s="1684"/>
      <c r="O8" s="1685"/>
      <c r="P8" s="1"/>
      <c r="Q8" s="3"/>
      <c r="R8" s="3"/>
      <c r="S8" s="3"/>
      <c r="T8" s="1672"/>
      <c r="U8" s="15"/>
    </row>
    <row r="9" spans="1:21" s="28" customFormat="1">
      <c r="A9" s="1688"/>
      <c r="B9" s="1695"/>
      <c r="C9" s="1696"/>
      <c r="D9" s="1697"/>
      <c r="E9" s="1715"/>
      <c r="F9" s="1703"/>
      <c r="G9" s="107" t="s">
        <v>115</v>
      </c>
      <c r="H9" s="108" t="s">
        <v>14</v>
      </c>
      <c r="I9" s="107" t="s">
        <v>115</v>
      </c>
      <c r="J9" s="108" t="s">
        <v>14</v>
      </c>
      <c r="K9" s="677" t="s">
        <v>14</v>
      </c>
      <c r="L9" s="741" t="s">
        <v>14</v>
      </c>
      <c r="N9" s="1684"/>
      <c r="O9" s="1685"/>
      <c r="P9" s="1"/>
      <c r="Q9" s="3"/>
      <c r="R9" s="3"/>
      <c r="S9" s="3"/>
      <c r="T9" s="3"/>
      <c r="U9" s="15"/>
    </row>
    <row r="10" spans="1:21" s="28" customFormat="1">
      <c r="A10" s="634"/>
      <c r="B10" s="762"/>
      <c r="C10" s="1320"/>
      <c r="D10" s="636"/>
      <c r="E10" s="1473"/>
      <c r="F10" s="638"/>
      <c r="G10" s="639"/>
      <c r="H10" s="640"/>
      <c r="I10" s="639"/>
      <c r="J10" s="640"/>
      <c r="K10" s="678"/>
      <c r="L10" s="746"/>
      <c r="N10" s="572"/>
      <c r="O10" s="573"/>
      <c r="P10" s="1"/>
      <c r="Q10" s="3"/>
      <c r="R10" s="3"/>
      <c r="S10" s="3"/>
      <c r="T10" s="3"/>
      <c r="U10" s="15"/>
    </row>
    <row r="11" spans="1:21" s="28" customFormat="1" ht="26.25">
      <c r="A11" s="628"/>
      <c r="B11" s="763" t="s">
        <v>562</v>
      </c>
      <c r="C11" s="1321"/>
      <c r="D11" s="629"/>
      <c r="E11" s="1474"/>
      <c r="F11" s="631"/>
      <c r="G11" s="632"/>
      <c r="H11" s="633"/>
      <c r="I11" s="632"/>
      <c r="J11" s="633"/>
      <c r="K11" s="679"/>
      <c r="L11" s="747"/>
      <c r="N11" s="572"/>
      <c r="O11" s="573"/>
      <c r="P11" s="1"/>
      <c r="Q11" s="3"/>
      <c r="R11" s="3"/>
      <c r="S11" s="3"/>
      <c r="T11" s="3"/>
      <c r="U11" s="15"/>
    </row>
    <row r="12" spans="1:21" s="28" customFormat="1" ht="24">
      <c r="A12" s="691">
        <v>1</v>
      </c>
      <c r="B12" s="764" t="s">
        <v>577</v>
      </c>
      <c r="C12" s="1322"/>
      <c r="D12" s="693"/>
      <c r="E12" s="1475"/>
      <c r="F12" s="695" t="s">
        <v>19</v>
      </c>
      <c r="G12" s="696"/>
      <c r="H12" s="697">
        <f>SUM(H21:H47)</f>
        <v>0</v>
      </c>
      <c r="I12" s="696"/>
      <c r="J12" s="697">
        <f>SUM(J21:J47)</f>
        <v>0</v>
      </c>
      <c r="K12" s="698">
        <f>J12+H12</f>
        <v>0</v>
      </c>
      <c r="L12" s="748">
        <f>K12*E12</f>
        <v>0</v>
      </c>
      <c r="N12" s="572"/>
      <c r="O12" s="573"/>
      <c r="P12" s="1"/>
      <c r="Q12" s="3"/>
      <c r="R12" s="3"/>
      <c r="S12" s="3"/>
      <c r="T12" s="3"/>
      <c r="U12" s="15"/>
    </row>
    <row r="13" spans="1:21" s="28" customFormat="1" ht="24">
      <c r="A13" s="691">
        <v>2</v>
      </c>
      <c r="B13" s="764" t="s">
        <v>578</v>
      </c>
      <c r="C13" s="1322"/>
      <c r="D13" s="693"/>
      <c r="E13" s="1475"/>
      <c r="F13" s="695" t="s">
        <v>19</v>
      </c>
      <c r="G13" s="696"/>
      <c r="H13" s="697">
        <f>SUM(H51:H103)</f>
        <v>0</v>
      </c>
      <c r="I13" s="696"/>
      <c r="J13" s="697">
        <f>SUM(J51:J103)</f>
        <v>0</v>
      </c>
      <c r="K13" s="698">
        <f>J13+H13</f>
        <v>0</v>
      </c>
      <c r="L13" s="748">
        <f>K13*E13</f>
        <v>0</v>
      </c>
      <c r="N13" s="572"/>
      <c r="O13" s="573"/>
      <c r="P13" s="1"/>
      <c r="Q13" s="3"/>
      <c r="R13" s="3"/>
      <c r="S13" s="3"/>
      <c r="T13" s="3"/>
      <c r="U13" s="15"/>
    </row>
    <row r="14" spans="1:21" s="28" customFormat="1" ht="24">
      <c r="A14" s="691">
        <v>3</v>
      </c>
      <c r="B14" s="764" t="s">
        <v>579</v>
      </c>
      <c r="C14" s="1322"/>
      <c r="D14" s="693"/>
      <c r="E14" s="1475"/>
      <c r="F14" s="695" t="s">
        <v>19</v>
      </c>
      <c r="G14" s="696"/>
      <c r="H14" s="697">
        <f>SUM(H107:H211)</f>
        <v>0</v>
      </c>
      <c r="I14" s="696"/>
      <c r="J14" s="697">
        <f>SUM(J107:J211)</f>
        <v>0</v>
      </c>
      <c r="K14" s="698">
        <f>J14+H14</f>
        <v>0</v>
      </c>
      <c r="L14" s="748">
        <f>K14*E14</f>
        <v>0</v>
      </c>
      <c r="N14" s="572"/>
      <c r="O14" s="573"/>
      <c r="P14" s="1"/>
      <c r="Q14" s="3"/>
      <c r="R14" s="3"/>
      <c r="S14" s="3"/>
      <c r="T14" s="3"/>
      <c r="U14" s="15"/>
    </row>
    <row r="15" spans="1:21" s="28" customFormat="1" ht="24">
      <c r="A15" s="699">
        <v>4</v>
      </c>
      <c r="B15" s="765" t="s">
        <v>580</v>
      </c>
      <c r="C15" s="1323"/>
      <c r="D15" s="701"/>
      <c r="E15" s="1475"/>
      <c r="F15" s="695" t="s">
        <v>19</v>
      </c>
      <c r="G15" s="702"/>
      <c r="H15" s="703">
        <f>SUM(H215:H266)</f>
        <v>0</v>
      </c>
      <c r="I15" s="702"/>
      <c r="J15" s="703">
        <f>SUM(J215:J266)</f>
        <v>0</v>
      </c>
      <c r="K15" s="698">
        <f>J15+H15</f>
        <v>0</v>
      </c>
      <c r="L15" s="748">
        <f>K15*E15</f>
        <v>0</v>
      </c>
      <c r="N15" s="572"/>
      <c r="O15" s="573"/>
      <c r="P15" s="1"/>
      <c r="Q15" s="3"/>
      <c r="R15" s="3"/>
      <c r="S15" s="3"/>
      <c r="T15" s="3"/>
      <c r="U15" s="15"/>
    </row>
    <row r="16" spans="1:21" s="28" customFormat="1" ht="22.5" thickBot="1">
      <c r="A16" s="706"/>
      <c r="B16" s="766"/>
      <c r="C16" s="1324"/>
      <c r="D16" s="708"/>
      <c r="E16" s="1476"/>
      <c r="F16" s="710"/>
      <c r="G16" s="711"/>
      <c r="H16" s="712"/>
      <c r="I16" s="711"/>
      <c r="J16" s="712"/>
      <c r="K16" s="713"/>
      <c r="L16" s="749"/>
      <c r="N16" s="572"/>
      <c r="O16" s="573"/>
      <c r="P16" s="1"/>
      <c r="Q16" s="3"/>
      <c r="R16" s="3"/>
      <c r="S16" s="3"/>
      <c r="T16" s="3"/>
      <c r="U16" s="15"/>
    </row>
    <row r="17" spans="1:21" s="724" customFormat="1" ht="27" thickBot="1">
      <c r="A17" s="715"/>
      <c r="B17" s="767"/>
      <c r="C17" s="1325"/>
      <c r="D17" s="714" t="s">
        <v>566</v>
      </c>
      <c r="E17" s="1477"/>
      <c r="F17" s="718"/>
      <c r="G17" s="719"/>
      <c r="H17" s="1200">
        <f>SUM(H11:H15)</f>
        <v>0</v>
      </c>
      <c r="I17" s="719"/>
      <c r="J17" s="1200">
        <f>SUM(J11:J15)</f>
        <v>0</v>
      </c>
      <c r="K17" s="1200">
        <f>SUM(K11:K15)</f>
        <v>0</v>
      </c>
      <c r="L17" s="726">
        <f>SUM(L11:L15)</f>
        <v>0</v>
      </c>
      <c r="N17" s="720" t="str">
        <f>IF(L17=L269,"OK","Check")</f>
        <v>OK</v>
      </c>
      <c r="O17" s="721"/>
      <c r="P17" s="722"/>
      <c r="Q17" s="723"/>
      <c r="R17" s="723"/>
      <c r="S17" s="723"/>
      <c r="T17" s="723"/>
      <c r="U17" s="725"/>
    </row>
    <row r="18" spans="1:21" s="28" customFormat="1" ht="22.5" thickBot="1">
      <c r="A18" s="576"/>
      <c r="B18" s="768"/>
      <c r="C18" s="768"/>
      <c r="D18" s="576"/>
      <c r="E18" s="1478"/>
      <c r="F18" s="576"/>
      <c r="G18" s="642"/>
      <c r="H18" s="642"/>
      <c r="I18" s="642"/>
      <c r="J18" s="642"/>
      <c r="K18" s="642"/>
      <c r="L18" s="750"/>
      <c r="N18" s="572"/>
      <c r="O18" s="573"/>
      <c r="P18" s="1"/>
      <c r="Q18" s="3"/>
      <c r="R18" s="3"/>
      <c r="S18" s="3"/>
      <c r="T18" s="3"/>
      <c r="U18" s="15"/>
    </row>
    <row r="19" spans="1:21" s="578" customFormat="1" ht="24">
      <c r="A19" s="652">
        <v>1</v>
      </c>
      <c r="B19" s="653" t="s">
        <v>117</v>
      </c>
      <c r="C19" s="1326"/>
      <c r="D19" s="655"/>
      <c r="E19" s="1479"/>
      <c r="F19" s="657"/>
      <c r="G19" s="658"/>
      <c r="H19" s="658"/>
      <c r="I19" s="658"/>
      <c r="J19" s="658"/>
      <c r="K19" s="680"/>
      <c r="L19" s="742"/>
      <c r="N19" s="579"/>
      <c r="O19" s="580"/>
      <c r="P19" s="581"/>
      <c r="Q19" s="581"/>
      <c r="R19" s="581"/>
      <c r="S19" s="581"/>
      <c r="T19" s="581"/>
      <c r="U19" s="582"/>
    </row>
    <row r="20" spans="1:21">
      <c r="A20" s="623"/>
      <c r="B20" s="769">
        <v>1.1000000000000001</v>
      </c>
      <c r="C20" s="1327"/>
      <c r="D20" s="624" t="s">
        <v>118</v>
      </c>
      <c r="E20" s="1480"/>
      <c r="F20" s="625"/>
      <c r="G20" s="626"/>
      <c r="H20" s="627"/>
      <c r="I20" s="626"/>
      <c r="J20" s="626"/>
      <c r="K20" s="681"/>
      <c r="L20" s="751"/>
      <c r="N20" s="14"/>
      <c r="O20" s="15"/>
      <c r="P20" s="16"/>
      <c r="Q20" s="17"/>
      <c r="R20" s="16"/>
      <c r="S20" s="16"/>
      <c r="T20" s="18"/>
      <c r="U20" s="13"/>
    </row>
    <row r="21" spans="1:21">
      <c r="A21" s="598"/>
      <c r="B21" s="643"/>
      <c r="C21" s="736" t="s">
        <v>119</v>
      </c>
      <c r="D21" s="616" t="s">
        <v>120</v>
      </c>
      <c r="E21" s="1482"/>
      <c r="F21" s="600" t="s">
        <v>121</v>
      </c>
      <c r="G21" s="602"/>
      <c r="H21" s="602"/>
      <c r="I21" s="602"/>
      <c r="J21" s="601"/>
      <c r="K21" s="682"/>
      <c r="L21" s="743"/>
      <c r="N21" s="14"/>
      <c r="O21" s="15"/>
      <c r="P21" s="20"/>
      <c r="Q21" s="17"/>
      <c r="R21" s="20"/>
      <c r="S21" s="16"/>
      <c r="T21" s="18"/>
      <c r="U21" s="13"/>
    </row>
    <row r="22" spans="1:21" s="583" customFormat="1" ht="43.5">
      <c r="A22" s="603"/>
      <c r="B22" s="770"/>
      <c r="C22" s="736" t="s">
        <v>122</v>
      </c>
      <c r="D22" s="617" t="s">
        <v>581</v>
      </c>
      <c r="E22" s="1495"/>
      <c r="F22" s="909" t="s">
        <v>124</v>
      </c>
      <c r="G22" s="602"/>
      <c r="H22" s="602"/>
      <c r="I22" s="602"/>
      <c r="J22" s="602"/>
      <c r="K22" s="683"/>
      <c r="L22" s="743"/>
      <c r="N22" s="584"/>
      <c r="O22" s="585"/>
      <c r="P22" s="20"/>
      <c r="Q22" s="17"/>
      <c r="R22" s="20"/>
      <c r="S22" s="17"/>
      <c r="T22" s="18"/>
      <c r="U22" s="586"/>
    </row>
    <row r="23" spans="1:21" s="590" customFormat="1" ht="43.5">
      <c r="A23" s="604"/>
      <c r="B23" s="771"/>
      <c r="C23" s="1277" t="s">
        <v>125</v>
      </c>
      <c r="D23" s="617" t="s">
        <v>582</v>
      </c>
      <c r="E23" s="1481"/>
      <c r="F23" s="910" t="s">
        <v>124</v>
      </c>
      <c r="G23" s="606"/>
      <c r="H23" s="606"/>
      <c r="I23" s="606"/>
      <c r="J23" s="606"/>
      <c r="K23" s="684"/>
      <c r="L23" s="752"/>
      <c r="N23" s="8"/>
      <c r="O23" s="591"/>
      <c r="P23" s="587"/>
      <c r="Q23" s="588"/>
      <c r="R23" s="587"/>
      <c r="S23" s="588"/>
      <c r="T23" s="589"/>
      <c r="U23" s="592"/>
    </row>
    <row r="24" spans="1:21" s="590" customFormat="1" ht="43.5">
      <c r="A24" s="604"/>
      <c r="B24" s="771"/>
      <c r="C24" s="1277" t="s">
        <v>127</v>
      </c>
      <c r="D24" s="617" t="s">
        <v>583</v>
      </c>
      <c r="E24" s="1481"/>
      <c r="F24" s="910" t="s">
        <v>124</v>
      </c>
      <c r="G24" s="606"/>
      <c r="H24" s="606"/>
      <c r="I24" s="606"/>
      <c r="J24" s="606"/>
      <c r="K24" s="684"/>
      <c r="L24" s="752"/>
      <c r="N24" s="8"/>
      <c r="O24" s="591"/>
      <c r="P24" s="587"/>
      <c r="Q24" s="588"/>
      <c r="R24" s="587"/>
      <c r="S24" s="588"/>
      <c r="T24" s="589"/>
      <c r="U24" s="592"/>
    </row>
    <row r="25" spans="1:21" s="590" customFormat="1">
      <c r="A25" s="604"/>
      <c r="B25" s="771"/>
      <c r="C25" s="1277" t="s">
        <v>129</v>
      </c>
      <c r="D25" s="617" t="s">
        <v>130</v>
      </c>
      <c r="E25" s="1481"/>
      <c r="F25" s="910" t="s">
        <v>124</v>
      </c>
      <c r="G25" s="606"/>
      <c r="H25" s="606"/>
      <c r="I25" s="606"/>
      <c r="J25" s="606"/>
      <c r="K25" s="684"/>
      <c r="L25" s="752"/>
      <c r="N25" s="8"/>
      <c r="O25" s="591"/>
      <c r="P25" s="587"/>
      <c r="Q25" s="588"/>
      <c r="R25" s="587"/>
      <c r="S25" s="588"/>
      <c r="T25" s="589"/>
      <c r="U25" s="592"/>
    </row>
    <row r="26" spans="1:21" s="590" customFormat="1">
      <c r="A26" s="604"/>
      <c r="B26" s="771"/>
      <c r="C26" s="1277" t="s">
        <v>131</v>
      </c>
      <c r="D26" s="617" t="s">
        <v>584</v>
      </c>
      <c r="E26" s="1481"/>
      <c r="F26" s="910" t="s">
        <v>124</v>
      </c>
      <c r="G26" s="606"/>
      <c r="H26" s="606"/>
      <c r="I26" s="606"/>
      <c r="J26" s="606"/>
      <c r="K26" s="684"/>
      <c r="L26" s="752"/>
      <c r="N26" s="8"/>
      <c r="O26" s="591"/>
      <c r="P26" s="587"/>
      <c r="Q26" s="588"/>
      <c r="R26" s="587"/>
      <c r="S26" s="588"/>
      <c r="T26" s="589"/>
      <c r="U26" s="592"/>
    </row>
    <row r="27" spans="1:21" s="590" customFormat="1">
      <c r="A27" s="604"/>
      <c r="B27" s="771"/>
      <c r="C27" s="1277" t="s">
        <v>133</v>
      </c>
      <c r="D27" s="617" t="s">
        <v>134</v>
      </c>
      <c r="E27" s="1481"/>
      <c r="F27" s="910" t="s">
        <v>121</v>
      </c>
      <c r="G27" s="606"/>
      <c r="H27" s="606"/>
      <c r="I27" s="606"/>
      <c r="J27" s="606"/>
      <c r="K27" s="684"/>
      <c r="L27" s="752"/>
      <c r="N27" s="8"/>
      <c r="O27" s="591"/>
      <c r="P27" s="587"/>
      <c r="Q27" s="588"/>
      <c r="R27" s="587"/>
      <c r="S27" s="588"/>
      <c r="T27" s="589"/>
      <c r="U27" s="592"/>
    </row>
    <row r="28" spans="1:21" s="590" customFormat="1">
      <c r="A28" s="604"/>
      <c r="B28" s="771"/>
      <c r="C28" s="1277" t="s">
        <v>135</v>
      </c>
      <c r="D28" s="617" t="s">
        <v>585</v>
      </c>
      <c r="E28" s="1481"/>
      <c r="F28" s="910"/>
      <c r="G28" s="606"/>
      <c r="H28" s="606"/>
      <c r="I28" s="606"/>
      <c r="J28" s="606"/>
      <c r="K28" s="684"/>
      <c r="L28" s="752"/>
      <c r="N28" s="8"/>
      <c r="O28" s="591"/>
      <c r="P28" s="587"/>
      <c r="Q28" s="588"/>
      <c r="R28" s="587"/>
      <c r="S28" s="588"/>
      <c r="T28" s="589"/>
      <c r="U28" s="592"/>
    </row>
    <row r="29" spans="1:21" s="590" customFormat="1" ht="65.25">
      <c r="A29" s="604"/>
      <c r="B29" s="771"/>
      <c r="C29" s="1277"/>
      <c r="D29" s="617" t="s">
        <v>586</v>
      </c>
      <c r="E29" s="1481"/>
      <c r="F29" s="910"/>
      <c r="G29" s="606"/>
      <c r="H29" s="606"/>
      <c r="I29" s="606"/>
      <c r="J29" s="606"/>
      <c r="K29" s="684"/>
      <c r="L29" s="752"/>
      <c r="N29" s="8"/>
      <c r="O29" s="591"/>
      <c r="P29" s="587"/>
      <c r="Q29" s="588"/>
      <c r="R29" s="587"/>
      <c r="S29" s="588"/>
      <c r="T29" s="589"/>
      <c r="U29" s="592"/>
    </row>
    <row r="30" spans="1:21">
      <c r="A30" s="598"/>
      <c r="B30" s="643"/>
      <c r="C30" s="736"/>
      <c r="D30" s="619" t="s">
        <v>137</v>
      </c>
      <c r="E30" s="1482"/>
      <c r="F30" s="600" t="s">
        <v>138</v>
      </c>
      <c r="G30" s="602"/>
      <c r="H30" s="602"/>
      <c r="I30" s="602"/>
      <c r="J30" s="601"/>
      <c r="K30" s="682"/>
      <c r="L30" s="743"/>
      <c r="N30" s="14"/>
      <c r="O30" s="15"/>
      <c r="P30" s="20"/>
      <c r="Q30" s="17"/>
      <c r="R30" s="20"/>
      <c r="S30" s="16"/>
      <c r="T30" s="18"/>
      <c r="U30" s="13"/>
    </row>
    <row r="31" spans="1:21">
      <c r="A31" s="598"/>
      <c r="B31" s="643"/>
      <c r="C31" s="736"/>
      <c r="D31" s="619" t="s">
        <v>139</v>
      </c>
      <c r="E31" s="1482"/>
      <c r="F31" s="600" t="s">
        <v>138</v>
      </c>
      <c r="G31" s="602"/>
      <c r="H31" s="602"/>
      <c r="I31" s="602"/>
      <c r="J31" s="601"/>
      <c r="K31" s="682"/>
      <c r="L31" s="743"/>
      <c r="N31" s="14"/>
      <c r="O31" s="15"/>
      <c r="P31" s="20"/>
      <c r="Q31" s="17"/>
      <c r="R31" s="20"/>
      <c r="S31" s="16"/>
      <c r="T31" s="18"/>
      <c r="U31" s="13"/>
    </row>
    <row r="32" spans="1:21">
      <c r="A32" s="598"/>
      <c r="B32" s="643"/>
      <c r="C32" s="736"/>
      <c r="D32" s="619" t="s">
        <v>140</v>
      </c>
      <c r="E32" s="1482"/>
      <c r="F32" s="600" t="s">
        <v>138</v>
      </c>
      <c r="G32" s="602"/>
      <c r="H32" s="602"/>
      <c r="I32" s="602"/>
      <c r="J32" s="601"/>
      <c r="K32" s="682"/>
      <c r="L32" s="743"/>
      <c r="N32" s="14"/>
      <c r="O32" s="15"/>
      <c r="P32" s="20"/>
      <c r="Q32" s="17"/>
      <c r="R32" s="20"/>
      <c r="S32" s="16"/>
      <c r="T32" s="18"/>
      <c r="U32" s="13"/>
    </row>
    <row r="33" spans="1:21">
      <c r="A33" s="598"/>
      <c r="B33" s="643"/>
      <c r="C33" s="736"/>
      <c r="D33" s="619" t="s">
        <v>141</v>
      </c>
      <c r="E33" s="1482"/>
      <c r="F33" s="600" t="s">
        <v>138</v>
      </c>
      <c r="G33" s="602"/>
      <c r="H33" s="602"/>
      <c r="I33" s="602"/>
      <c r="J33" s="601"/>
      <c r="K33" s="682"/>
      <c r="L33" s="743"/>
      <c r="N33" s="14"/>
      <c r="O33" s="15"/>
      <c r="P33" s="20"/>
      <c r="Q33" s="17"/>
      <c r="R33" s="20"/>
      <c r="S33" s="16"/>
      <c r="T33" s="18"/>
      <c r="U33" s="13"/>
    </row>
    <row r="34" spans="1:21">
      <c r="A34" s="598"/>
      <c r="B34" s="643"/>
      <c r="C34" s="736" t="s">
        <v>142</v>
      </c>
      <c r="D34" s="616" t="s">
        <v>143</v>
      </c>
      <c r="E34" s="1482"/>
      <c r="F34" s="600" t="s">
        <v>138</v>
      </c>
      <c r="G34" s="602"/>
      <c r="H34" s="602"/>
      <c r="I34" s="602"/>
      <c r="J34" s="601"/>
      <c r="K34" s="682"/>
      <c r="L34" s="743"/>
      <c r="N34" s="14"/>
      <c r="O34" s="15"/>
      <c r="P34" s="20"/>
      <c r="Q34" s="17"/>
      <c r="R34" s="20"/>
      <c r="S34" s="16"/>
      <c r="T34" s="18"/>
      <c r="U34" s="13"/>
    </row>
    <row r="35" spans="1:21">
      <c r="A35" s="598"/>
      <c r="B35" s="643"/>
      <c r="C35" s="736" t="s">
        <v>144</v>
      </c>
      <c r="D35" s="616" t="s">
        <v>145</v>
      </c>
      <c r="E35" s="1482"/>
      <c r="F35" s="600" t="s">
        <v>138</v>
      </c>
      <c r="G35" s="602"/>
      <c r="H35" s="602"/>
      <c r="I35" s="602"/>
      <c r="J35" s="601"/>
      <c r="K35" s="682"/>
      <c r="L35" s="743"/>
      <c r="N35" s="14"/>
      <c r="O35" s="15"/>
      <c r="P35" s="20"/>
      <c r="Q35" s="17"/>
      <c r="R35" s="20"/>
      <c r="S35" s="16"/>
      <c r="T35" s="18"/>
      <c r="U35" s="13"/>
    </row>
    <row r="36" spans="1:21">
      <c r="A36" s="598"/>
      <c r="B36" s="643"/>
      <c r="C36" s="736" t="s">
        <v>146</v>
      </c>
      <c r="D36" s="616" t="s">
        <v>147</v>
      </c>
      <c r="E36" s="1482"/>
      <c r="F36" s="600" t="s">
        <v>121</v>
      </c>
      <c r="G36" s="602"/>
      <c r="H36" s="602"/>
      <c r="I36" s="602"/>
      <c r="J36" s="601"/>
      <c r="K36" s="682"/>
      <c r="L36" s="743"/>
      <c r="N36" s="14"/>
      <c r="O36" s="15"/>
      <c r="P36" s="20"/>
      <c r="Q36" s="17"/>
      <c r="R36" s="20"/>
      <c r="S36" s="16"/>
      <c r="T36" s="18"/>
      <c r="U36" s="13"/>
    </row>
    <row r="37" spans="1:21">
      <c r="A37" s="598"/>
      <c r="B37" s="643"/>
      <c r="C37" s="736" t="s">
        <v>148</v>
      </c>
      <c r="D37" s="616" t="s">
        <v>149</v>
      </c>
      <c r="E37" s="1482"/>
      <c r="F37" s="600" t="s">
        <v>121</v>
      </c>
      <c r="G37" s="602"/>
      <c r="H37" s="602"/>
      <c r="I37" s="602"/>
      <c r="J37" s="601"/>
      <c r="K37" s="682"/>
      <c r="L37" s="743"/>
      <c r="N37" s="14"/>
      <c r="O37" s="15"/>
      <c r="P37" s="20"/>
      <c r="Q37" s="17"/>
      <c r="R37" s="20"/>
      <c r="S37" s="16"/>
      <c r="T37" s="18"/>
      <c r="U37" s="13"/>
    </row>
    <row r="38" spans="1:21">
      <c r="A38" s="598"/>
      <c r="B38" s="772">
        <v>1.2</v>
      </c>
      <c r="C38" s="736"/>
      <c r="D38" s="614" t="s">
        <v>150</v>
      </c>
      <c r="E38" s="1482"/>
      <c r="F38" s="600" t="s">
        <v>121</v>
      </c>
      <c r="G38" s="602"/>
      <c r="H38" s="602"/>
      <c r="I38" s="602"/>
      <c r="J38" s="601"/>
      <c r="K38" s="682"/>
      <c r="L38" s="743"/>
      <c r="N38" s="14"/>
      <c r="O38" s="15"/>
      <c r="P38" s="20"/>
      <c r="Q38" s="17"/>
      <c r="R38" s="20"/>
      <c r="S38" s="16"/>
      <c r="T38" s="18"/>
      <c r="U38" s="13"/>
    </row>
    <row r="39" spans="1:21">
      <c r="A39" s="598"/>
      <c r="B39" s="772">
        <v>1.3</v>
      </c>
      <c r="C39" s="736"/>
      <c r="D39" s="614" t="s">
        <v>151</v>
      </c>
      <c r="E39" s="1482"/>
      <c r="F39" s="600"/>
      <c r="G39" s="602"/>
      <c r="H39" s="602"/>
      <c r="I39" s="602"/>
      <c r="J39" s="601"/>
      <c r="K39" s="682"/>
      <c r="L39" s="743"/>
      <c r="N39" s="14"/>
      <c r="O39" s="15"/>
      <c r="P39" s="20"/>
      <c r="Q39" s="17"/>
      <c r="R39" s="20"/>
      <c r="S39" s="16"/>
      <c r="T39" s="18"/>
      <c r="U39" s="13"/>
    </row>
    <row r="40" spans="1:21" ht="65.25">
      <c r="A40" s="598"/>
      <c r="B40" s="643"/>
      <c r="C40" s="736"/>
      <c r="D40" s="620" t="s">
        <v>589</v>
      </c>
      <c r="E40" s="1482"/>
      <c r="F40" s="600"/>
      <c r="G40" s="602"/>
      <c r="H40" s="602"/>
      <c r="I40" s="602"/>
      <c r="J40" s="601"/>
      <c r="K40" s="682"/>
      <c r="L40" s="743"/>
      <c r="N40" s="14"/>
      <c r="O40" s="15"/>
      <c r="P40" s="20"/>
      <c r="Q40" s="17"/>
      <c r="R40" s="20"/>
      <c r="S40" s="16"/>
      <c r="T40" s="18"/>
      <c r="U40" s="13"/>
    </row>
    <row r="41" spans="1:21">
      <c r="A41" s="598"/>
      <c r="B41" s="643"/>
      <c r="C41" s="736" t="s">
        <v>152</v>
      </c>
      <c r="D41" s="616" t="s">
        <v>762</v>
      </c>
      <c r="E41" s="1482"/>
      <c r="F41" s="600" t="s">
        <v>138</v>
      </c>
      <c r="G41" s="602"/>
      <c r="H41" s="602"/>
      <c r="I41" s="602"/>
      <c r="J41" s="601"/>
      <c r="K41" s="682"/>
      <c r="L41" s="743"/>
      <c r="N41" s="14"/>
      <c r="O41" s="15"/>
      <c r="P41" s="20"/>
      <c r="Q41" s="17"/>
      <c r="R41" s="20"/>
      <c r="S41" s="16"/>
      <c r="T41" s="18"/>
      <c r="U41" s="13"/>
    </row>
    <row r="42" spans="1:21">
      <c r="A42" s="598"/>
      <c r="B42" s="643"/>
      <c r="C42" s="736" t="s">
        <v>154</v>
      </c>
      <c r="D42" s="616" t="s">
        <v>763</v>
      </c>
      <c r="E42" s="1482"/>
      <c r="F42" s="600" t="s">
        <v>138</v>
      </c>
      <c r="G42" s="602"/>
      <c r="H42" s="602"/>
      <c r="I42" s="602"/>
      <c r="J42" s="601"/>
      <c r="K42" s="682"/>
      <c r="L42" s="743"/>
      <c r="N42" s="14"/>
      <c r="O42" s="15"/>
      <c r="P42" s="20"/>
      <c r="Q42" s="17"/>
      <c r="R42" s="20"/>
      <c r="S42" s="16"/>
      <c r="T42" s="18"/>
      <c r="U42" s="13"/>
    </row>
    <row r="43" spans="1:21">
      <c r="A43" s="598"/>
      <c r="B43" s="643"/>
      <c r="C43" s="736" t="s">
        <v>156</v>
      </c>
      <c r="D43" s="616" t="s">
        <v>764</v>
      </c>
      <c r="E43" s="1482"/>
      <c r="F43" s="600" t="s">
        <v>138</v>
      </c>
      <c r="G43" s="602"/>
      <c r="H43" s="602"/>
      <c r="I43" s="602"/>
      <c r="J43" s="601"/>
      <c r="K43" s="682"/>
      <c r="L43" s="743"/>
      <c r="N43" s="14"/>
      <c r="O43" s="15"/>
      <c r="P43" s="20"/>
      <c r="Q43" s="17"/>
      <c r="R43" s="20"/>
      <c r="S43" s="16"/>
      <c r="T43" s="18"/>
      <c r="U43" s="13"/>
    </row>
    <row r="44" spans="1:21">
      <c r="A44" s="598"/>
      <c r="B44" s="643"/>
      <c r="C44" s="736" t="s">
        <v>158</v>
      </c>
      <c r="D44" s="616" t="s">
        <v>765</v>
      </c>
      <c r="E44" s="1482"/>
      <c r="F44" s="600" t="s">
        <v>138</v>
      </c>
      <c r="G44" s="602"/>
      <c r="H44" s="602"/>
      <c r="I44" s="602"/>
      <c r="J44" s="601"/>
      <c r="K44" s="682"/>
      <c r="L44" s="743"/>
      <c r="N44" s="14"/>
      <c r="O44" s="15"/>
      <c r="P44" s="20"/>
      <c r="Q44" s="17"/>
      <c r="R44" s="20"/>
      <c r="S44" s="16"/>
      <c r="T44" s="18"/>
      <c r="U44" s="13"/>
    </row>
    <row r="45" spans="1:21">
      <c r="A45" s="598"/>
      <c r="B45" s="643"/>
      <c r="C45" s="736" t="s">
        <v>160</v>
      </c>
      <c r="D45" s="616" t="s">
        <v>766</v>
      </c>
      <c r="E45" s="1482"/>
      <c r="F45" s="600" t="s">
        <v>121</v>
      </c>
      <c r="G45" s="602"/>
      <c r="H45" s="602"/>
      <c r="I45" s="602"/>
      <c r="J45" s="601"/>
      <c r="K45" s="682"/>
      <c r="L45" s="743"/>
      <c r="N45" s="14"/>
      <c r="O45" s="15"/>
      <c r="P45" s="20"/>
      <c r="Q45" s="17"/>
      <c r="R45" s="20"/>
      <c r="S45" s="16"/>
      <c r="T45" s="18"/>
      <c r="U45" s="13"/>
    </row>
    <row r="46" spans="1:21">
      <c r="A46" s="598"/>
      <c r="B46" s="643"/>
      <c r="C46" s="736" t="s">
        <v>162</v>
      </c>
      <c r="D46" s="616" t="s">
        <v>767</v>
      </c>
      <c r="E46" s="1482"/>
      <c r="F46" s="600" t="s">
        <v>121</v>
      </c>
      <c r="G46" s="602"/>
      <c r="H46" s="602"/>
      <c r="I46" s="602"/>
      <c r="J46" s="601"/>
      <c r="K46" s="682"/>
      <c r="L46" s="743"/>
      <c r="N46" s="14"/>
      <c r="O46" s="15"/>
      <c r="P46" s="20"/>
      <c r="Q46" s="17"/>
      <c r="R46" s="20"/>
      <c r="S46" s="16"/>
      <c r="T46" s="18"/>
      <c r="U46" s="13"/>
    </row>
    <row r="47" spans="1:21">
      <c r="A47" s="598"/>
      <c r="B47" s="643"/>
      <c r="C47" s="736" t="s">
        <v>164</v>
      </c>
      <c r="D47" s="616" t="s">
        <v>170</v>
      </c>
      <c r="E47" s="1482"/>
      <c r="F47" s="600" t="s">
        <v>171</v>
      </c>
      <c r="G47" s="602"/>
      <c r="H47" s="602"/>
      <c r="I47" s="602"/>
      <c r="J47" s="601"/>
      <c r="K47" s="682"/>
      <c r="L47" s="743"/>
      <c r="N47" s="14"/>
      <c r="O47" s="15"/>
      <c r="P47" s="20"/>
      <c r="Q47" s="17"/>
      <c r="R47" s="20"/>
      <c r="S47" s="16"/>
      <c r="T47" s="18"/>
      <c r="U47" s="13"/>
    </row>
    <row r="48" spans="1:21">
      <c r="A48" s="598"/>
      <c r="B48" s="643"/>
      <c r="C48" s="736"/>
      <c r="D48" s="616"/>
      <c r="E48" s="1482"/>
      <c r="F48" s="600"/>
      <c r="G48" s="602"/>
      <c r="H48" s="602"/>
      <c r="I48" s="602"/>
      <c r="J48" s="601"/>
      <c r="K48" s="682"/>
      <c r="L48" s="743"/>
      <c r="N48" s="14"/>
      <c r="O48" s="15"/>
      <c r="P48" s="20"/>
      <c r="Q48" s="17"/>
      <c r="R48" s="20"/>
      <c r="S48" s="16"/>
      <c r="T48" s="18"/>
      <c r="U48" s="13"/>
    </row>
    <row r="49" spans="1:21" ht="23.25">
      <c r="A49" s="659">
        <v>2</v>
      </c>
      <c r="B49" s="645" t="s">
        <v>173</v>
      </c>
      <c r="C49" s="1328"/>
      <c r="D49" s="647"/>
      <c r="E49" s="1483"/>
      <c r="F49" s="648"/>
      <c r="G49" s="649"/>
      <c r="H49" s="650"/>
      <c r="I49" s="649"/>
      <c r="J49" s="651"/>
      <c r="K49" s="685"/>
      <c r="L49" s="753"/>
      <c r="N49" s="14"/>
      <c r="O49" s="15"/>
      <c r="P49" s="20"/>
      <c r="Q49" s="17"/>
      <c r="R49" s="20"/>
      <c r="S49" s="16"/>
      <c r="T49" s="18"/>
      <c r="U49" s="13"/>
    </row>
    <row r="50" spans="1:21" s="665" customFormat="1">
      <c r="A50" s="660"/>
      <c r="B50" s="773">
        <v>2.1</v>
      </c>
      <c r="C50" s="1329" t="s">
        <v>174</v>
      </c>
      <c r="D50" s="672"/>
      <c r="E50" s="1484"/>
      <c r="F50" s="605"/>
      <c r="G50" s="663"/>
      <c r="H50" s="664"/>
      <c r="I50" s="663"/>
      <c r="J50" s="664"/>
      <c r="K50" s="686"/>
      <c r="L50" s="754"/>
      <c r="N50" s="666"/>
      <c r="O50" s="667"/>
      <c r="P50" s="668"/>
      <c r="Q50" s="669"/>
      <c r="R50" s="668"/>
      <c r="S50" s="669"/>
      <c r="T50" s="670"/>
      <c r="U50" s="671"/>
    </row>
    <row r="51" spans="1:21" s="665" customFormat="1">
      <c r="A51" s="660"/>
      <c r="B51" s="774"/>
      <c r="C51" s="1277" t="s">
        <v>175</v>
      </c>
      <c r="D51" s="728" t="s">
        <v>176</v>
      </c>
      <c r="E51" s="1484"/>
      <c r="F51" s="758" t="s">
        <v>121</v>
      </c>
      <c r="G51" s="664"/>
      <c r="H51" s="673"/>
      <c r="I51" s="664"/>
      <c r="J51" s="673"/>
      <c r="K51" s="687"/>
      <c r="L51" s="755"/>
      <c r="N51" s="666"/>
      <c r="O51" s="667"/>
      <c r="P51" s="668"/>
      <c r="Q51" s="669"/>
      <c r="R51" s="668"/>
      <c r="S51" s="669"/>
      <c r="T51" s="670"/>
      <c r="U51" s="671"/>
    </row>
    <row r="52" spans="1:21" s="665" customFormat="1" ht="43.5">
      <c r="A52" s="660"/>
      <c r="B52" s="774"/>
      <c r="C52" s="1277" t="s">
        <v>177</v>
      </c>
      <c r="D52" s="665" t="s">
        <v>596</v>
      </c>
      <c r="E52" s="1484"/>
      <c r="F52" s="758" t="s">
        <v>121</v>
      </c>
      <c r="G52" s="664"/>
      <c r="H52" s="673"/>
      <c r="I52" s="664"/>
      <c r="J52" s="673"/>
      <c r="K52" s="687"/>
      <c r="L52" s="755"/>
      <c r="N52" s="666"/>
      <c r="O52" s="667"/>
      <c r="P52" s="668"/>
      <c r="Q52" s="669"/>
      <c r="R52" s="668"/>
      <c r="S52" s="669"/>
      <c r="T52" s="670"/>
      <c r="U52" s="671"/>
    </row>
    <row r="53" spans="1:21" s="665" customFormat="1">
      <c r="A53" s="660"/>
      <c r="B53" s="774"/>
      <c r="C53" s="1277"/>
      <c r="D53" s="661" t="s">
        <v>597</v>
      </c>
      <c r="E53" s="1484"/>
      <c r="F53" s="758" t="s">
        <v>223</v>
      </c>
      <c r="G53" s="664"/>
      <c r="H53" s="673"/>
      <c r="I53" s="664"/>
      <c r="J53" s="673"/>
      <c r="K53" s="687"/>
      <c r="L53" s="755"/>
      <c r="N53" s="666"/>
      <c r="O53" s="667"/>
      <c r="P53" s="668"/>
      <c r="Q53" s="669"/>
      <c r="R53" s="668"/>
      <c r="S53" s="669"/>
      <c r="T53" s="670"/>
      <c r="U53" s="671"/>
    </row>
    <row r="54" spans="1:21" s="665" customFormat="1">
      <c r="A54" s="660"/>
      <c r="B54" s="774"/>
      <c r="C54" s="1277" t="s">
        <v>179</v>
      </c>
      <c r="D54" s="661" t="s">
        <v>598</v>
      </c>
      <c r="E54" s="1484"/>
      <c r="F54" s="758" t="s">
        <v>121</v>
      </c>
      <c r="G54" s="664"/>
      <c r="H54" s="673"/>
      <c r="I54" s="664"/>
      <c r="J54" s="673"/>
      <c r="K54" s="687"/>
      <c r="L54" s="755"/>
      <c r="N54" s="666"/>
      <c r="O54" s="667"/>
      <c r="P54" s="668"/>
      <c r="Q54" s="669"/>
      <c r="R54" s="668"/>
      <c r="S54" s="669"/>
      <c r="T54" s="670"/>
      <c r="U54" s="671"/>
    </row>
    <row r="55" spans="1:21" s="665" customFormat="1">
      <c r="A55" s="660"/>
      <c r="B55" s="774"/>
      <c r="C55" s="1277" t="s">
        <v>181</v>
      </c>
      <c r="D55" s="661" t="s">
        <v>600</v>
      </c>
      <c r="E55" s="1484"/>
      <c r="F55" s="758" t="s">
        <v>185</v>
      </c>
      <c r="G55" s="664"/>
      <c r="H55" s="673"/>
      <c r="I55" s="664"/>
      <c r="J55" s="673"/>
      <c r="K55" s="687"/>
      <c r="L55" s="755"/>
      <c r="N55" s="666"/>
      <c r="O55" s="667"/>
      <c r="P55" s="668"/>
      <c r="Q55" s="669"/>
      <c r="R55" s="668"/>
      <c r="S55" s="669"/>
      <c r="T55" s="670"/>
      <c r="U55" s="671"/>
    </row>
    <row r="56" spans="1:21" s="665" customFormat="1" ht="43.5">
      <c r="A56" s="660"/>
      <c r="B56" s="774"/>
      <c r="C56" s="1277" t="s">
        <v>183</v>
      </c>
      <c r="D56" s="661" t="s">
        <v>768</v>
      </c>
      <c r="E56" s="1484"/>
      <c r="F56" s="758" t="s">
        <v>121</v>
      </c>
      <c r="G56" s="664"/>
      <c r="H56" s="673"/>
      <c r="I56" s="664"/>
      <c r="J56" s="673"/>
      <c r="K56" s="687"/>
      <c r="L56" s="755"/>
      <c r="N56" s="666"/>
      <c r="O56" s="667"/>
      <c r="P56" s="668"/>
      <c r="Q56" s="669"/>
      <c r="R56" s="668"/>
      <c r="S56" s="669"/>
      <c r="T56" s="670"/>
      <c r="U56" s="671"/>
    </row>
    <row r="57" spans="1:21" s="665" customFormat="1">
      <c r="A57" s="660"/>
      <c r="B57" s="773"/>
      <c r="C57" s="1329"/>
      <c r="D57" s="672"/>
      <c r="E57" s="1484"/>
      <c r="F57" s="758"/>
      <c r="G57" s="664"/>
      <c r="H57" s="673"/>
      <c r="I57" s="664"/>
      <c r="J57" s="673"/>
      <c r="K57" s="687"/>
      <c r="L57" s="755"/>
      <c r="N57" s="666"/>
      <c r="O57" s="667"/>
      <c r="P57" s="668"/>
      <c r="Q57" s="669"/>
      <c r="R57" s="668"/>
      <c r="S57" s="669"/>
      <c r="T57" s="670"/>
      <c r="U57" s="671"/>
    </row>
    <row r="58" spans="1:21" s="665" customFormat="1">
      <c r="A58" s="660"/>
      <c r="B58" s="773">
        <v>2.2000000000000002</v>
      </c>
      <c r="C58" s="1329" t="s">
        <v>186</v>
      </c>
      <c r="D58" s="661"/>
      <c r="E58" s="1484"/>
      <c r="F58" s="758"/>
      <c r="G58" s="664"/>
      <c r="H58" s="673"/>
      <c r="I58" s="664"/>
      <c r="J58" s="673"/>
      <c r="K58" s="687"/>
      <c r="L58" s="755"/>
      <c r="N58" s="666"/>
      <c r="O58" s="667"/>
      <c r="P58" s="668"/>
      <c r="Q58" s="669"/>
      <c r="R58" s="668"/>
      <c r="S58" s="669"/>
      <c r="T58" s="670"/>
      <c r="U58" s="671"/>
    </row>
    <row r="59" spans="1:21" s="665" customFormat="1">
      <c r="A59" s="660"/>
      <c r="B59" s="774"/>
      <c r="C59" s="1277" t="s">
        <v>187</v>
      </c>
      <c r="D59" s="661" t="s">
        <v>769</v>
      </c>
      <c r="E59" s="1484"/>
      <c r="F59" s="758" t="s">
        <v>121</v>
      </c>
      <c r="G59" s="664"/>
      <c r="H59" s="673"/>
      <c r="I59" s="664"/>
      <c r="J59" s="673"/>
      <c r="K59" s="687"/>
      <c r="L59" s="755"/>
      <c r="N59" s="666"/>
      <c r="O59" s="667"/>
      <c r="P59" s="668"/>
      <c r="Q59" s="669"/>
      <c r="R59" s="668"/>
      <c r="S59" s="669"/>
      <c r="T59" s="670"/>
      <c r="U59" s="671"/>
    </row>
    <row r="60" spans="1:21" s="665" customFormat="1">
      <c r="A60" s="660"/>
      <c r="B60" s="774"/>
      <c r="C60" s="1277" t="s">
        <v>189</v>
      </c>
      <c r="D60" s="661" t="s">
        <v>770</v>
      </c>
      <c r="E60" s="1484"/>
      <c r="F60" s="758" t="s">
        <v>121</v>
      </c>
      <c r="G60" s="664"/>
      <c r="H60" s="673"/>
      <c r="I60" s="664"/>
      <c r="J60" s="673"/>
      <c r="K60" s="687"/>
      <c r="L60" s="755"/>
      <c r="N60" s="666"/>
      <c r="O60" s="667"/>
      <c r="P60" s="668"/>
      <c r="Q60" s="669"/>
      <c r="R60" s="668"/>
      <c r="S60" s="669"/>
      <c r="T60" s="670"/>
      <c r="U60" s="671"/>
    </row>
    <row r="61" spans="1:21" s="665" customFormat="1">
      <c r="A61" s="660"/>
      <c r="B61" s="774"/>
      <c r="C61" s="1277" t="s">
        <v>191</v>
      </c>
      <c r="D61" s="661" t="s">
        <v>771</v>
      </c>
      <c r="E61" s="1484"/>
      <c r="F61" s="758" t="s">
        <v>121</v>
      </c>
      <c r="G61" s="664"/>
      <c r="H61" s="673"/>
      <c r="I61" s="664"/>
      <c r="J61" s="673"/>
      <c r="K61" s="687"/>
      <c r="L61" s="755"/>
      <c r="N61" s="666"/>
      <c r="O61" s="667"/>
      <c r="P61" s="668"/>
      <c r="Q61" s="669"/>
      <c r="R61" s="668"/>
      <c r="S61" s="669"/>
      <c r="T61" s="670"/>
      <c r="U61" s="671"/>
    </row>
    <row r="62" spans="1:21" s="665" customFormat="1">
      <c r="A62" s="660"/>
      <c r="B62" s="774">
        <v>2.2999999999999998</v>
      </c>
      <c r="C62" s="738" t="s">
        <v>195</v>
      </c>
      <c r="D62" s="661"/>
      <c r="E62" s="1484"/>
      <c r="F62" s="758"/>
      <c r="G62" s="664"/>
      <c r="H62" s="673"/>
      <c r="I62" s="664"/>
      <c r="J62" s="673"/>
      <c r="K62" s="687"/>
      <c r="L62" s="755"/>
      <c r="N62" s="666"/>
      <c r="O62" s="667"/>
      <c r="P62" s="668"/>
      <c r="Q62" s="669"/>
      <c r="R62" s="668"/>
      <c r="S62" s="669"/>
      <c r="T62" s="670"/>
      <c r="U62" s="671"/>
    </row>
    <row r="63" spans="1:21" s="665" customFormat="1">
      <c r="A63" s="660"/>
      <c r="B63" s="774"/>
      <c r="C63" s="1277" t="s">
        <v>196</v>
      </c>
      <c r="D63" s="661" t="s">
        <v>603</v>
      </c>
      <c r="E63" s="1484"/>
      <c r="F63" s="758" t="s">
        <v>121</v>
      </c>
      <c r="G63" s="664"/>
      <c r="H63" s="673"/>
      <c r="I63" s="664"/>
      <c r="J63" s="673"/>
      <c r="K63" s="687"/>
      <c r="L63" s="755"/>
      <c r="N63" s="666"/>
      <c r="O63" s="667"/>
      <c r="P63" s="668"/>
      <c r="Q63" s="669"/>
      <c r="R63" s="668"/>
      <c r="S63" s="669"/>
      <c r="T63" s="670"/>
      <c r="U63" s="671"/>
    </row>
    <row r="64" spans="1:21" s="665" customFormat="1" ht="43.5">
      <c r="A64" s="660"/>
      <c r="B64" s="774"/>
      <c r="C64" s="1277" t="s">
        <v>198</v>
      </c>
      <c r="D64" s="661" t="s">
        <v>604</v>
      </c>
      <c r="E64" s="1484"/>
      <c r="F64" s="758" t="s">
        <v>121</v>
      </c>
      <c r="G64" s="664"/>
      <c r="H64" s="673"/>
      <c r="I64" s="664"/>
      <c r="J64" s="673"/>
      <c r="K64" s="687"/>
      <c r="L64" s="755"/>
      <c r="N64" s="666"/>
      <c r="O64" s="667"/>
      <c r="P64" s="668"/>
      <c r="Q64" s="669"/>
      <c r="R64" s="668"/>
      <c r="S64" s="669"/>
      <c r="T64" s="670"/>
      <c r="U64" s="671"/>
    </row>
    <row r="65" spans="1:21" s="665" customFormat="1" ht="43.5">
      <c r="A65" s="660"/>
      <c r="B65" s="774"/>
      <c r="C65" s="1277" t="s">
        <v>200</v>
      </c>
      <c r="D65" s="661" t="s">
        <v>772</v>
      </c>
      <c r="E65" s="1484"/>
      <c r="F65" s="758" t="s">
        <v>121</v>
      </c>
      <c r="G65" s="664"/>
      <c r="H65" s="673"/>
      <c r="I65" s="664"/>
      <c r="J65" s="673"/>
      <c r="K65" s="687"/>
      <c r="L65" s="755"/>
      <c r="N65" s="666"/>
      <c r="O65" s="667"/>
      <c r="P65" s="668"/>
      <c r="Q65" s="669"/>
      <c r="R65" s="668"/>
      <c r="S65" s="669"/>
      <c r="T65" s="670"/>
      <c r="U65" s="671"/>
    </row>
    <row r="66" spans="1:21" s="665" customFormat="1">
      <c r="A66" s="660"/>
      <c r="B66" s="774"/>
      <c r="C66" s="1277" t="s">
        <v>202</v>
      </c>
      <c r="D66" s="661" t="s">
        <v>773</v>
      </c>
      <c r="E66" s="1484"/>
      <c r="F66" s="758" t="s">
        <v>223</v>
      </c>
      <c r="G66" s="664"/>
      <c r="H66" s="673"/>
      <c r="I66" s="664"/>
      <c r="J66" s="673"/>
      <c r="K66" s="687"/>
      <c r="L66" s="755"/>
      <c r="N66" s="666"/>
      <c r="O66" s="667"/>
      <c r="P66" s="668"/>
      <c r="Q66" s="669"/>
      <c r="R66" s="668"/>
      <c r="S66" s="669"/>
      <c r="T66" s="670"/>
      <c r="U66" s="671"/>
    </row>
    <row r="67" spans="1:21" s="665" customFormat="1">
      <c r="A67" s="660"/>
      <c r="B67" s="773">
        <v>2.4</v>
      </c>
      <c r="C67" s="738" t="s">
        <v>206</v>
      </c>
      <c r="D67" s="661"/>
      <c r="E67" s="1484"/>
      <c r="F67" s="758"/>
      <c r="G67" s="664"/>
      <c r="H67" s="673"/>
      <c r="I67" s="664"/>
      <c r="J67" s="673"/>
      <c r="K67" s="687"/>
      <c r="L67" s="755"/>
      <c r="N67" s="666"/>
      <c r="O67" s="667"/>
      <c r="P67" s="668"/>
      <c r="Q67" s="669"/>
      <c r="R67" s="668"/>
      <c r="S67" s="669"/>
      <c r="T67" s="670"/>
      <c r="U67" s="671"/>
    </row>
    <row r="68" spans="1:21" s="665" customFormat="1">
      <c r="A68" s="660"/>
      <c r="B68" s="774"/>
      <c r="C68" s="1277" t="s">
        <v>207</v>
      </c>
      <c r="D68" s="661" t="s">
        <v>607</v>
      </c>
      <c r="E68" s="1484"/>
      <c r="F68" s="758" t="s">
        <v>97</v>
      </c>
      <c r="G68" s="664"/>
      <c r="H68" s="673"/>
      <c r="I68" s="664"/>
      <c r="J68" s="673"/>
      <c r="K68" s="687"/>
      <c r="L68" s="755"/>
      <c r="N68" s="666"/>
      <c r="O68" s="667"/>
      <c r="P68" s="668"/>
      <c r="Q68" s="669"/>
      <c r="R68" s="668"/>
      <c r="S68" s="669"/>
      <c r="T68" s="670"/>
      <c r="U68" s="671"/>
    </row>
    <row r="69" spans="1:21" s="665" customFormat="1" ht="43.5">
      <c r="A69" s="660"/>
      <c r="B69" s="774"/>
      <c r="C69" s="1277" t="s">
        <v>209</v>
      </c>
      <c r="D69" s="661" t="s">
        <v>608</v>
      </c>
      <c r="E69" s="1484"/>
      <c r="F69" s="758" t="s">
        <v>97</v>
      </c>
      <c r="G69" s="664"/>
      <c r="H69" s="673"/>
      <c r="I69" s="664"/>
      <c r="J69" s="673"/>
      <c r="K69" s="687"/>
      <c r="L69" s="755"/>
      <c r="N69" s="666">
        <f>0.5*1.2</f>
        <v>0.6</v>
      </c>
      <c r="O69" s="667"/>
      <c r="P69" s="668"/>
      <c r="Q69" s="669"/>
      <c r="R69" s="668"/>
      <c r="S69" s="669"/>
      <c r="T69" s="670"/>
      <c r="U69" s="671"/>
    </row>
    <row r="70" spans="1:21" s="665" customFormat="1">
      <c r="A70" s="660"/>
      <c r="B70" s="774"/>
      <c r="C70" s="1277" t="s">
        <v>213</v>
      </c>
      <c r="D70" s="661" t="s">
        <v>774</v>
      </c>
      <c r="E70" s="1484"/>
      <c r="F70" s="758" t="s">
        <v>211</v>
      </c>
      <c r="G70" s="664"/>
      <c r="H70" s="673"/>
      <c r="I70" s="664"/>
      <c r="J70" s="673"/>
      <c r="K70" s="687"/>
      <c r="L70" s="755"/>
      <c r="N70" s="666"/>
      <c r="O70" s="667"/>
      <c r="P70" s="668"/>
      <c r="Q70" s="669"/>
      <c r="R70" s="668"/>
      <c r="S70" s="669"/>
      <c r="T70" s="670"/>
      <c r="U70" s="671"/>
    </row>
    <row r="71" spans="1:21" s="665" customFormat="1" ht="43.5">
      <c r="A71" s="660"/>
      <c r="B71" s="774"/>
      <c r="C71" s="1277" t="s">
        <v>215</v>
      </c>
      <c r="D71" s="661" t="s">
        <v>609</v>
      </c>
      <c r="E71" s="1484"/>
      <c r="F71" s="758" t="s">
        <v>211</v>
      </c>
      <c r="G71" s="664"/>
      <c r="H71" s="673"/>
      <c r="I71" s="664"/>
      <c r="J71" s="673"/>
      <c r="K71" s="687"/>
      <c r="L71" s="755"/>
      <c r="N71" s="666"/>
      <c r="O71" s="667"/>
      <c r="P71" s="668"/>
      <c r="Q71" s="669"/>
      <c r="R71" s="668"/>
      <c r="S71" s="669"/>
      <c r="T71" s="670"/>
      <c r="U71" s="671"/>
    </row>
    <row r="72" spans="1:21" s="665" customFormat="1" ht="43.5">
      <c r="A72" s="660"/>
      <c r="B72" s="774"/>
      <c r="C72" s="1277" t="s">
        <v>217</v>
      </c>
      <c r="D72" s="661" t="s">
        <v>610</v>
      </c>
      <c r="E72" s="1484"/>
      <c r="F72" s="758" t="s">
        <v>211</v>
      </c>
      <c r="G72" s="664"/>
      <c r="H72" s="673"/>
      <c r="I72" s="664"/>
      <c r="J72" s="673"/>
      <c r="K72" s="687"/>
      <c r="L72" s="755"/>
      <c r="N72" s="666"/>
      <c r="O72" s="667"/>
      <c r="P72" s="668"/>
      <c r="Q72" s="669"/>
      <c r="R72" s="668"/>
      <c r="S72" s="669"/>
      <c r="T72" s="670"/>
      <c r="U72" s="671"/>
    </row>
    <row r="73" spans="1:21" s="665" customFormat="1">
      <c r="A73" s="660"/>
      <c r="B73" s="774"/>
      <c r="C73" s="1277" t="s">
        <v>219</v>
      </c>
      <c r="D73" s="661" t="s">
        <v>775</v>
      </c>
      <c r="E73" s="1484"/>
      <c r="F73" s="758" t="s">
        <v>211</v>
      </c>
      <c r="G73" s="664"/>
      <c r="H73" s="673"/>
      <c r="I73" s="664"/>
      <c r="J73" s="673"/>
      <c r="K73" s="687"/>
      <c r="L73" s="755"/>
      <c r="N73" s="666"/>
      <c r="O73" s="667"/>
      <c r="P73" s="668"/>
      <c r="Q73" s="669"/>
      <c r="R73" s="668"/>
      <c r="S73" s="669"/>
      <c r="T73" s="670"/>
      <c r="U73" s="671"/>
    </row>
    <row r="74" spans="1:21" s="665" customFormat="1">
      <c r="A74" s="660"/>
      <c r="B74" s="774"/>
      <c r="C74" s="1277" t="s">
        <v>221</v>
      </c>
      <c r="D74" s="661" t="s">
        <v>776</v>
      </c>
      <c r="E74" s="1484"/>
      <c r="F74" s="758" t="s">
        <v>211</v>
      </c>
      <c r="G74" s="664"/>
      <c r="H74" s="673"/>
      <c r="I74" s="664"/>
      <c r="J74" s="673"/>
      <c r="K74" s="687"/>
      <c r="L74" s="755"/>
      <c r="N74" s="666"/>
      <c r="O74" s="667"/>
      <c r="P74" s="668"/>
      <c r="Q74" s="669"/>
      <c r="R74" s="668"/>
      <c r="S74" s="669"/>
      <c r="T74" s="670"/>
      <c r="U74" s="671"/>
    </row>
    <row r="75" spans="1:21" s="665" customFormat="1">
      <c r="A75" s="660"/>
      <c r="B75" s="774"/>
      <c r="C75" s="1277" t="s">
        <v>224</v>
      </c>
      <c r="D75" s="661" t="s">
        <v>777</v>
      </c>
      <c r="E75" s="1484"/>
      <c r="F75" s="758" t="s">
        <v>223</v>
      </c>
      <c r="G75" s="664"/>
      <c r="H75" s="673"/>
      <c r="I75" s="664"/>
      <c r="J75" s="673"/>
      <c r="K75" s="687"/>
      <c r="L75" s="755"/>
      <c r="N75" s="666"/>
      <c r="O75" s="667"/>
      <c r="P75" s="668"/>
      <c r="Q75" s="669"/>
      <c r="R75" s="668"/>
      <c r="S75" s="669"/>
      <c r="T75" s="670"/>
      <c r="U75" s="671"/>
    </row>
    <row r="76" spans="1:21" s="665" customFormat="1">
      <c r="A76" s="660"/>
      <c r="B76" s="774"/>
      <c r="C76" s="1277" t="s">
        <v>226</v>
      </c>
      <c r="D76" s="661" t="s">
        <v>778</v>
      </c>
      <c r="E76" s="1484"/>
      <c r="F76" s="758" t="s">
        <v>223</v>
      </c>
      <c r="G76" s="664"/>
      <c r="H76" s="673"/>
      <c r="I76" s="664"/>
      <c r="J76" s="673"/>
      <c r="K76" s="687"/>
      <c r="L76" s="755"/>
      <c r="N76" s="666"/>
      <c r="O76" s="667"/>
      <c r="P76" s="668"/>
      <c r="Q76" s="669"/>
      <c r="R76" s="668"/>
      <c r="S76" s="669"/>
      <c r="T76" s="670"/>
      <c r="U76" s="671"/>
    </row>
    <row r="77" spans="1:21" s="665" customFormat="1">
      <c r="A77" s="660"/>
      <c r="B77" s="774"/>
      <c r="C77" s="1277" t="s">
        <v>228</v>
      </c>
      <c r="D77" s="661" t="s">
        <v>779</v>
      </c>
      <c r="E77" s="1484"/>
      <c r="F77" s="758" t="s">
        <v>223</v>
      </c>
      <c r="G77" s="664"/>
      <c r="H77" s="673"/>
      <c r="I77" s="664"/>
      <c r="J77" s="673"/>
      <c r="K77" s="687"/>
      <c r="L77" s="755"/>
      <c r="N77" s="666"/>
      <c r="O77" s="667"/>
      <c r="P77" s="668"/>
      <c r="Q77" s="669"/>
      <c r="R77" s="668"/>
      <c r="S77" s="669"/>
      <c r="T77" s="670"/>
      <c r="U77" s="671"/>
    </row>
    <row r="78" spans="1:21" s="665" customFormat="1">
      <c r="A78" s="660"/>
      <c r="B78" s="774"/>
      <c r="C78" s="1277" t="s">
        <v>232</v>
      </c>
      <c r="D78" s="661" t="s">
        <v>227</v>
      </c>
      <c r="E78" s="1484"/>
      <c r="F78" s="758" t="s">
        <v>223</v>
      </c>
      <c r="G78" s="664"/>
      <c r="H78" s="673"/>
      <c r="I78" s="664"/>
      <c r="J78" s="673"/>
      <c r="K78" s="687"/>
      <c r="L78" s="755"/>
      <c r="N78" s="666"/>
      <c r="O78" s="667"/>
      <c r="P78" s="668"/>
      <c r="Q78" s="669"/>
      <c r="R78" s="668"/>
      <c r="S78" s="669"/>
      <c r="T78" s="670"/>
      <c r="U78" s="671"/>
    </row>
    <row r="79" spans="1:21" s="665" customFormat="1">
      <c r="A79" s="660"/>
      <c r="B79" s="773"/>
      <c r="C79" s="1277" t="s">
        <v>780</v>
      </c>
      <c r="D79" s="661" t="s">
        <v>172</v>
      </c>
      <c r="E79" s="1484"/>
      <c r="F79" s="758"/>
      <c r="G79" s="664"/>
      <c r="H79" s="673"/>
      <c r="I79" s="664"/>
      <c r="J79" s="673"/>
      <c r="K79" s="687"/>
      <c r="L79" s="755"/>
      <c r="N79" s="666"/>
      <c r="O79" s="667"/>
      <c r="P79" s="668"/>
      <c r="Q79" s="669"/>
      <c r="R79" s="668"/>
      <c r="S79" s="669"/>
      <c r="T79" s="670"/>
      <c r="U79" s="671"/>
    </row>
    <row r="80" spans="1:21" s="665" customFormat="1">
      <c r="A80" s="660"/>
      <c r="B80" s="774"/>
      <c r="C80" s="1277" t="s">
        <v>781</v>
      </c>
      <c r="D80" s="661" t="s">
        <v>229</v>
      </c>
      <c r="E80" s="1484"/>
      <c r="F80" s="758"/>
      <c r="G80" s="664"/>
      <c r="H80" s="673"/>
      <c r="I80" s="664"/>
      <c r="J80" s="673"/>
      <c r="K80" s="687"/>
      <c r="L80" s="755"/>
      <c r="N80" s="666"/>
      <c r="O80" s="667"/>
      <c r="P80" s="668"/>
      <c r="Q80" s="669"/>
      <c r="R80" s="668"/>
      <c r="S80" s="669"/>
      <c r="T80" s="670"/>
      <c r="U80" s="671"/>
    </row>
    <row r="81" spans="1:21" s="665" customFormat="1">
      <c r="A81" s="660"/>
      <c r="B81" s="774"/>
      <c r="C81" s="1277"/>
      <c r="D81" s="661" t="s">
        <v>782</v>
      </c>
      <c r="E81" s="1484"/>
      <c r="F81" s="758" t="s">
        <v>185</v>
      </c>
      <c r="G81" s="664"/>
      <c r="H81" s="673"/>
      <c r="I81" s="664"/>
      <c r="J81" s="673"/>
      <c r="K81" s="687"/>
      <c r="L81" s="755"/>
      <c r="N81" s="666"/>
      <c r="O81" s="667"/>
      <c r="P81" s="668"/>
      <c r="Q81" s="669"/>
      <c r="R81" s="668"/>
      <c r="S81" s="669"/>
      <c r="T81" s="670"/>
      <c r="U81" s="671"/>
    </row>
    <row r="82" spans="1:21" s="665" customFormat="1">
      <c r="A82" s="660"/>
      <c r="B82" s="774"/>
      <c r="C82" s="1277"/>
      <c r="D82" s="661" t="s">
        <v>783</v>
      </c>
      <c r="E82" s="1484"/>
      <c r="F82" s="758" t="s">
        <v>185</v>
      </c>
      <c r="G82" s="664"/>
      <c r="H82" s="673"/>
      <c r="I82" s="664"/>
      <c r="J82" s="673"/>
      <c r="K82" s="687"/>
      <c r="L82" s="755"/>
      <c r="N82" s="666"/>
      <c r="O82" s="667"/>
      <c r="P82" s="668"/>
      <c r="Q82" s="669"/>
      <c r="R82" s="668"/>
      <c r="S82" s="669"/>
      <c r="T82" s="670"/>
      <c r="U82" s="671"/>
    </row>
    <row r="83" spans="1:21" s="665" customFormat="1">
      <c r="A83" s="660"/>
      <c r="B83" s="774"/>
      <c r="C83" s="1277" t="s">
        <v>784</v>
      </c>
      <c r="D83" s="661" t="s">
        <v>618</v>
      </c>
      <c r="E83" s="1484"/>
      <c r="F83" s="758"/>
      <c r="G83" s="664"/>
      <c r="H83" s="673"/>
      <c r="I83" s="664"/>
      <c r="J83" s="673"/>
      <c r="K83" s="687"/>
      <c r="L83" s="755"/>
      <c r="N83" s="666"/>
      <c r="O83" s="667"/>
      <c r="P83" s="668"/>
      <c r="Q83" s="669"/>
      <c r="R83" s="668"/>
      <c r="S83" s="669"/>
      <c r="T83" s="670"/>
      <c r="U83" s="671"/>
    </row>
    <row r="84" spans="1:21" s="665" customFormat="1">
      <c r="A84" s="660"/>
      <c r="B84" s="774"/>
      <c r="C84" s="1277"/>
      <c r="D84" s="661" t="s">
        <v>619</v>
      </c>
      <c r="E84" s="1484"/>
      <c r="F84" s="758" t="s">
        <v>185</v>
      </c>
      <c r="G84" s="664"/>
      <c r="H84" s="673"/>
      <c r="I84" s="664"/>
      <c r="J84" s="673"/>
      <c r="K84" s="687"/>
      <c r="L84" s="755"/>
      <c r="N84" s="666"/>
      <c r="O84" s="667"/>
      <c r="P84" s="668"/>
      <c r="Q84" s="669"/>
      <c r="R84" s="668"/>
      <c r="S84" s="669"/>
      <c r="T84" s="670"/>
      <c r="U84" s="671"/>
    </row>
    <row r="85" spans="1:21" s="665" customFormat="1">
      <c r="A85" s="660"/>
      <c r="B85" s="774"/>
      <c r="C85" s="1277"/>
      <c r="D85" s="661" t="s">
        <v>620</v>
      </c>
      <c r="E85" s="1484"/>
      <c r="F85" s="758" t="s">
        <v>185</v>
      </c>
      <c r="G85" s="664"/>
      <c r="H85" s="673"/>
      <c r="I85" s="664"/>
      <c r="J85" s="673"/>
      <c r="K85" s="687"/>
      <c r="L85" s="755"/>
      <c r="N85" s="666"/>
      <c r="O85" s="667"/>
      <c r="P85" s="668"/>
      <c r="Q85" s="669"/>
      <c r="R85" s="668"/>
      <c r="S85" s="669"/>
      <c r="T85" s="670"/>
      <c r="U85" s="671"/>
    </row>
    <row r="86" spans="1:21" s="665" customFormat="1">
      <c r="A86" s="660"/>
      <c r="B86" s="774"/>
      <c r="C86" s="1277"/>
      <c r="D86" s="661" t="s">
        <v>236</v>
      </c>
      <c r="E86" s="1484"/>
      <c r="F86" s="758" t="s">
        <v>185</v>
      </c>
      <c r="G86" s="664"/>
      <c r="H86" s="673"/>
      <c r="I86" s="664"/>
      <c r="J86" s="673"/>
      <c r="K86" s="687"/>
      <c r="L86" s="755"/>
      <c r="N86" s="666"/>
      <c r="O86" s="667"/>
      <c r="P86" s="668"/>
      <c r="Q86" s="669"/>
      <c r="R86" s="668"/>
      <c r="S86" s="669"/>
      <c r="T86" s="670"/>
      <c r="U86" s="671"/>
    </row>
    <row r="87" spans="1:21" s="665" customFormat="1">
      <c r="A87" s="660"/>
      <c r="B87" s="773">
        <v>2.5</v>
      </c>
      <c r="C87" s="1330" t="s">
        <v>237</v>
      </c>
      <c r="E87" s="1484"/>
      <c r="F87" s="758"/>
      <c r="G87" s="664"/>
      <c r="H87" s="673"/>
      <c r="I87" s="664"/>
      <c r="J87" s="673"/>
      <c r="K87" s="687"/>
      <c r="L87" s="755"/>
      <c r="N87" s="666"/>
      <c r="O87" s="667"/>
      <c r="P87" s="668"/>
      <c r="Q87" s="669"/>
      <c r="R87" s="668"/>
      <c r="S87" s="669"/>
      <c r="T87" s="670"/>
      <c r="U87" s="671"/>
    </row>
    <row r="88" spans="1:21" s="665" customFormat="1">
      <c r="A88" s="660"/>
      <c r="B88" s="774"/>
      <c r="C88" s="1277" t="s">
        <v>238</v>
      </c>
      <c r="D88" s="661" t="s">
        <v>785</v>
      </c>
      <c r="E88" s="1484"/>
      <c r="F88" s="758" t="s">
        <v>240</v>
      </c>
      <c r="G88" s="664"/>
      <c r="H88" s="673"/>
      <c r="I88" s="664"/>
      <c r="J88" s="673"/>
      <c r="K88" s="687"/>
      <c r="L88" s="755"/>
      <c r="N88" s="666"/>
      <c r="O88" s="667"/>
      <c r="P88" s="668"/>
      <c r="Q88" s="669"/>
      <c r="R88" s="668"/>
      <c r="S88" s="669"/>
      <c r="T88" s="670"/>
      <c r="U88" s="671"/>
    </row>
    <row r="89" spans="1:21" s="665" customFormat="1">
      <c r="A89" s="660"/>
      <c r="B89" s="774"/>
      <c r="C89" s="1277" t="s">
        <v>241</v>
      </c>
      <c r="D89" s="661" t="s">
        <v>786</v>
      </c>
      <c r="E89" s="1484"/>
      <c r="F89" s="758" t="s">
        <v>240</v>
      </c>
      <c r="G89" s="664"/>
      <c r="H89" s="673"/>
      <c r="I89" s="664"/>
      <c r="J89" s="673"/>
      <c r="K89" s="687"/>
      <c r="L89" s="755"/>
      <c r="N89" s="666"/>
      <c r="O89" s="667"/>
      <c r="P89" s="668"/>
      <c r="Q89" s="669"/>
      <c r="R89" s="668"/>
      <c r="S89" s="669"/>
      <c r="T89" s="670"/>
      <c r="U89" s="671"/>
    </row>
    <row r="90" spans="1:21" s="665" customFormat="1">
      <c r="A90" s="660"/>
      <c r="B90" s="774"/>
      <c r="C90" s="1277" t="s">
        <v>243</v>
      </c>
      <c r="D90" s="661" t="s">
        <v>787</v>
      </c>
      <c r="E90" s="1484"/>
      <c r="F90" s="758" t="s">
        <v>240</v>
      </c>
      <c r="G90" s="664"/>
      <c r="H90" s="673"/>
      <c r="I90" s="664"/>
      <c r="J90" s="673"/>
      <c r="K90" s="687"/>
      <c r="L90" s="755"/>
      <c r="N90" s="666"/>
      <c r="O90" s="667"/>
      <c r="P90" s="668"/>
      <c r="Q90" s="669"/>
      <c r="R90" s="668"/>
      <c r="S90" s="669"/>
      <c r="T90" s="670"/>
      <c r="U90" s="671"/>
    </row>
    <row r="91" spans="1:21" s="665" customFormat="1">
      <c r="A91" s="660"/>
      <c r="B91" s="774"/>
      <c r="C91" s="1277" t="s">
        <v>245</v>
      </c>
      <c r="D91" s="661" t="s">
        <v>788</v>
      </c>
      <c r="E91" s="1484"/>
      <c r="F91" s="758" t="s">
        <v>240</v>
      </c>
      <c r="G91" s="664"/>
      <c r="H91" s="673"/>
      <c r="I91" s="664"/>
      <c r="J91" s="673"/>
      <c r="K91" s="687"/>
      <c r="L91" s="755"/>
      <c r="N91" s="666"/>
      <c r="O91" s="667"/>
      <c r="P91" s="668"/>
      <c r="Q91" s="669"/>
      <c r="R91" s="668"/>
      <c r="S91" s="669"/>
      <c r="T91" s="670"/>
      <c r="U91" s="671"/>
    </row>
    <row r="92" spans="1:21" s="665" customFormat="1">
      <c r="A92" s="660"/>
      <c r="B92" s="774"/>
      <c r="C92" s="1277" t="s">
        <v>247</v>
      </c>
      <c r="D92" s="661" t="s">
        <v>789</v>
      </c>
      <c r="E92" s="1484"/>
      <c r="F92" s="758" t="s">
        <v>240</v>
      </c>
      <c r="G92" s="664"/>
      <c r="H92" s="673"/>
      <c r="I92" s="664"/>
      <c r="J92" s="673"/>
      <c r="K92" s="687"/>
      <c r="L92" s="755"/>
      <c r="N92" s="666"/>
      <c r="O92" s="667"/>
      <c r="P92" s="668"/>
      <c r="Q92" s="669"/>
      <c r="R92" s="668"/>
      <c r="S92" s="669"/>
      <c r="T92" s="670"/>
      <c r="U92" s="671"/>
    </row>
    <row r="93" spans="1:21" s="665" customFormat="1">
      <c r="A93" s="660"/>
      <c r="B93" s="774"/>
      <c r="C93" s="1277" t="s">
        <v>249</v>
      </c>
      <c r="D93" s="661" t="s">
        <v>790</v>
      </c>
      <c r="E93" s="1484"/>
      <c r="F93" s="758" t="s">
        <v>240</v>
      </c>
      <c r="G93" s="664"/>
      <c r="H93" s="673"/>
      <c r="I93" s="664"/>
      <c r="J93" s="673"/>
      <c r="K93" s="687"/>
      <c r="L93" s="755"/>
      <c r="N93" s="666"/>
      <c r="O93" s="667"/>
      <c r="P93" s="668"/>
      <c r="Q93" s="669"/>
      <c r="R93" s="668"/>
      <c r="S93" s="669"/>
      <c r="T93" s="670"/>
      <c r="U93" s="671"/>
    </row>
    <row r="94" spans="1:21" s="665" customFormat="1">
      <c r="A94" s="660"/>
      <c r="B94" s="774"/>
      <c r="C94" s="1277" t="s">
        <v>253</v>
      </c>
      <c r="D94" s="661" t="s">
        <v>254</v>
      </c>
      <c r="E94" s="1484"/>
      <c r="F94" s="758" t="s">
        <v>240</v>
      </c>
      <c r="G94" s="664"/>
      <c r="H94" s="673"/>
      <c r="I94" s="664"/>
      <c r="J94" s="673"/>
      <c r="K94" s="687"/>
      <c r="L94" s="755"/>
      <c r="N94" s="666"/>
      <c r="O94" s="667"/>
      <c r="P94" s="668"/>
      <c r="Q94" s="669"/>
      <c r="R94" s="668"/>
      <c r="S94" s="669"/>
      <c r="T94" s="670"/>
      <c r="U94" s="671"/>
    </row>
    <row r="95" spans="1:21" s="665" customFormat="1">
      <c r="A95" s="660"/>
      <c r="B95" s="774"/>
      <c r="C95" s="1277" t="s">
        <v>255</v>
      </c>
      <c r="D95" s="661" t="s">
        <v>791</v>
      </c>
      <c r="E95" s="1484"/>
      <c r="F95" s="758" t="s">
        <v>240</v>
      </c>
      <c r="G95" s="664"/>
      <c r="H95" s="673"/>
      <c r="I95" s="664"/>
      <c r="J95" s="673"/>
      <c r="K95" s="687"/>
      <c r="L95" s="755"/>
      <c r="N95" s="666"/>
      <c r="O95" s="667"/>
      <c r="P95" s="668"/>
      <c r="Q95" s="669"/>
      <c r="R95" s="668"/>
      <c r="S95" s="669"/>
      <c r="T95" s="670"/>
      <c r="U95" s="671"/>
    </row>
    <row r="96" spans="1:21" s="665" customFormat="1">
      <c r="A96" s="660"/>
      <c r="B96" s="773">
        <v>2.6</v>
      </c>
      <c r="C96" s="1329" t="s">
        <v>261</v>
      </c>
      <c r="D96" s="661"/>
      <c r="E96" s="1484"/>
      <c r="F96" s="758"/>
      <c r="G96" s="664"/>
      <c r="H96" s="673"/>
      <c r="I96" s="664"/>
      <c r="J96" s="673"/>
      <c r="K96" s="687"/>
      <c r="L96" s="755"/>
      <c r="N96" s="666"/>
      <c r="O96" s="667"/>
      <c r="P96" s="668"/>
      <c r="Q96" s="669"/>
      <c r="R96" s="668"/>
      <c r="S96" s="669"/>
      <c r="T96" s="670"/>
      <c r="U96" s="671"/>
    </row>
    <row r="97" spans="1:21" s="665" customFormat="1">
      <c r="A97" s="660"/>
      <c r="B97" s="774"/>
      <c r="C97" s="1277" t="s">
        <v>262</v>
      </c>
      <c r="D97" s="661" t="s">
        <v>263</v>
      </c>
      <c r="E97" s="1484"/>
      <c r="F97" s="758" t="s">
        <v>121</v>
      </c>
      <c r="G97" s="664"/>
      <c r="H97" s="673"/>
      <c r="I97" s="664"/>
      <c r="J97" s="673"/>
      <c r="K97" s="687"/>
      <c r="L97" s="755"/>
      <c r="N97" s="666"/>
      <c r="O97" s="667"/>
      <c r="P97" s="668"/>
      <c r="Q97" s="669"/>
      <c r="R97" s="668"/>
      <c r="S97" s="669"/>
      <c r="T97" s="670"/>
      <c r="U97" s="671"/>
    </row>
    <row r="98" spans="1:21" s="665" customFormat="1">
      <c r="A98" s="660"/>
      <c r="B98" s="774"/>
      <c r="C98" s="1277" t="s">
        <v>264</v>
      </c>
      <c r="D98" s="661" t="s">
        <v>792</v>
      </c>
      <c r="E98" s="1484"/>
      <c r="F98" s="758" t="s">
        <v>121</v>
      </c>
      <c r="G98" s="664"/>
      <c r="H98" s="673"/>
      <c r="I98" s="664"/>
      <c r="J98" s="673"/>
      <c r="K98" s="687"/>
      <c r="L98" s="755"/>
      <c r="N98" s="666"/>
      <c r="O98" s="667"/>
      <c r="P98" s="668"/>
      <c r="Q98" s="669"/>
      <c r="R98" s="668"/>
      <c r="S98" s="669"/>
      <c r="T98" s="670"/>
      <c r="U98" s="671"/>
    </row>
    <row r="99" spans="1:21" s="665" customFormat="1">
      <c r="A99" s="660"/>
      <c r="B99" s="774"/>
      <c r="C99" s="1277" t="s">
        <v>266</v>
      </c>
      <c r="D99" s="661" t="s">
        <v>793</v>
      </c>
      <c r="E99" s="1484"/>
      <c r="F99" s="758" t="s">
        <v>121</v>
      </c>
      <c r="G99" s="664"/>
      <c r="H99" s="673"/>
      <c r="I99" s="664"/>
      <c r="J99" s="673"/>
      <c r="K99" s="687"/>
      <c r="L99" s="755"/>
      <c r="N99" s="666"/>
      <c r="O99" s="667"/>
      <c r="P99" s="668"/>
      <c r="Q99" s="669"/>
      <c r="R99" s="668"/>
      <c r="S99" s="669"/>
      <c r="T99" s="670"/>
      <c r="U99" s="671"/>
    </row>
    <row r="100" spans="1:21" s="665" customFormat="1">
      <c r="A100" s="660"/>
      <c r="B100" s="774"/>
      <c r="C100" s="1277" t="s">
        <v>268</v>
      </c>
      <c r="D100" s="661" t="s">
        <v>794</v>
      </c>
      <c r="E100" s="1484"/>
      <c r="F100" s="758" t="s">
        <v>121</v>
      </c>
      <c r="G100" s="664"/>
      <c r="H100" s="673"/>
      <c r="I100" s="664"/>
      <c r="J100" s="673"/>
      <c r="K100" s="687"/>
      <c r="L100" s="755"/>
      <c r="N100" s="666"/>
      <c r="O100" s="667"/>
      <c r="P100" s="668"/>
      <c r="Q100" s="669"/>
      <c r="R100" s="668"/>
      <c r="S100" s="669"/>
      <c r="T100" s="670"/>
      <c r="U100" s="671"/>
    </row>
    <row r="101" spans="1:21" s="665" customFormat="1">
      <c r="A101" s="660"/>
      <c r="B101" s="774"/>
      <c r="C101" s="1277" t="s">
        <v>270</v>
      </c>
      <c r="D101" s="661" t="s">
        <v>273</v>
      </c>
      <c r="E101" s="1484"/>
      <c r="F101" s="758" t="s">
        <v>121</v>
      </c>
      <c r="G101" s="664"/>
      <c r="H101" s="673"/>
      <c r="I101" s="664"/>
      <c r="J101" s="673"/>
      <c r="K101" s="687"/>
      <c r="L101" s="755"/>
      <c r="N101" s="666"/>
      <c r="O101" s="667"/>
      <c r="P101" s="668"/>
      <c r="Q101" s="669"/>
      <c r="R101" s="668"/>
      <c r="S101" s="669"/>
      <c r="T101" s="670"/>
      <c r="U101" s="671"/>
    </row>
    <row r="102" spans="1:21" s="665" customFormat="1">
      <c r="A102" s="660"/>
      <c r="B102" s="773">
        <v>2.7</v>
      </c>
      <c r="C102" s="738" t="s">
        <v>274</v>
      </c>
      <c r="D102" s="661"/>
      <c r="E102" s="1484"/>
      <c r="F102" s="758"/>
      <c r="G102" s="664"/>
      <c r="H102" s="673"/>
      <c r="I102" s="664"/>
      <c r="J102" s="673"/>
      <c r="K102" s="687"/>
      <c r="L102" s="755"/>
      <c r="N102" s="666"/>
      <c r="O102" s="667"/>
      <c r="P102" s="668"/>
      <c r="Q102" s="669"/>
      <c r="R102" s="668"/>
      <c r="S102" s="669"/>
      <c r="T102" s="670"/>
      <c r="U102" s="671"/>
    </row>
    <row r="103" spans="1:21" s="665" customFormat="1">
      <c r="A103" s="660"/>
      <c r="B103" s="774"/>
      <c r="C103" s="1277"/>
      <c r="D103" s="661" t="s">
        <v>795</v>
      </c>
      <c r="E103" s="1484"/>
      <c r="F103" s="758" t="s">
        <v>277</v>
      </c>
      <c r="G103" s="664"/>
      <c r="H103" s="673"/>
      <c r="I103" s="664"/>
      <c r="J103" s="673"/>
      <c r="K103" s="687"/>
      <c r="L103" s="755"/>
      <c r="N103" s="666"/>
      <c r="O103" s="667"/>
      <c r="P103" s="668"/>
      <c r="Q103" s="669"/>
      <c r="R103" s="668"/>
      <c r="S103" s="669"/>
      <c r="T103" s="670"/>
      <c r="U103" s="671"/>
    </row>
    <row r="104" spans="1:21" s="665" customFormat="1">
      <c r="A104" s="660"/>
      <c r="B104" s="774"/>
      <c r="C104" s="1277"/>
      <c r="D104" s="661"/>
      <c r="E104" s="1484"/>
      <c r="F104" s="605"/>
      <c r="G104" s="663"/>
      <c r="H104" s="664"/>
      <c r="I104" s="663"/>
      <c r="J104" s="673"/>
      <c r="K104" s="687"/>
      <c r="L104" s="755"/>
      <c r="N104" s="666"/>
      <c r="O104" s="667"/>
      <c r="P104" s="668"/>
      <c r="Q104" s="669"/>
      <c r="R104" s="668"/>
      <c r="S104" s="669"/>
      <c r="T104" s="670"/>
      <c r="U104" s="671"/>
    </row>
    <row r="105" spans="1:21" ht="23.25">
      <c r="A105" s="659">
        <v>3</v>
      </c>
      <c r="B105" s="1710" t="s">
        <v>635</v>
      </c>
      <c r="C105" s="1711"/>
      <c r="D105" s="1712"/>
      <c r="E105" s="1483"/>
      <c r="F105" s="648"/>
      <c r="G105" s="649"/>
      <c r="H105" s="650"/>
      <c r="I105" s="649"/>
      <c r="J105" s="651"/>
      <c r="K105" s="685"/>
      <c r="L105" s="753"/>
      <c r="N105" s="14"/>
      <c r="O105" s="15"/>
      <c r="P105" s="20"/>
      <c r="Q105" s="17"/>
      <c r="R105" s="20"/>
      <c r="S105" s="16"/>
      <c r="T105" s="18"/>
      <c r="U105" s="13"/>
    </row>
    <row r="106" spans="1:21" s="665" customFormat="1">
      <c r="A106" s="660">
        <v>3.1</v>
      </c>
      <c r="B106" s="738" t="s">
        <v>279</v>
      </c>
      <c r="C106" s="1331"/>
      <c r="D106" s="661"/>
      <c r="E106" s="1484"/>
      <c r="F106" s="758"/>
      <c r="G106" s="664"/>
      <c r="H106" s="664"/>
      <c r="I106" s="664"/>
      <c r="J106" s="664"/>
      <c r="K106" s="686"/>
      <c r="L106" s="754"/>
      <c r="N106" s="666"/>
      <c r="O106" s="667"/>
      <c r="P106" s="668"/>
      <c r="Q106" s="669"/>
      <c r="R106" s="668"/>
      <c r="S106" s="669"/>
      <c r="T106" s="670"/>
      <c r="U106" s="671"/>
    </row>
    <row r="107" spans="1:21" s="665" customFormat="1">
      <c r="A107" s="660"/>
      <c r="B107" s="739" t="s">
        <v>280</v>
      </c>
      <c r="C107" s="736" t="s">
        <v>281</v>
      </c>
      <c r="E107" s="1484"/>
      <c r="F107" s="758"/>
      <c r="G107" s="664"/>
      <c r="H107" s="664"/>
      <c r="I107" s="664"/>
      <c r="J107" s="664"/>
      <c r="K107" s="686"/>
      <c r="L107" s="754"/>
      <c r="N107" s="666"/>
      <c r="O107" s="667"/>
      <c r="P107" s="668"/>
      <c r="Q107" s="669"/>
      <c r="R107" s="668"/>
      <c r="S107" s="669"/>
      <c r="T107" s="670"/>
      <c r="U107" s="671"/>
    </row>
    <row r="108" spans="1:21" s="665" customFormat="1" ht="43.5">
      <c r="A108" s="660"/>
      <c r="B108" s="739"/>
      <c r="C108" s="736" t="s">
        <v>282</v>
      </c>
      <c r="D108" s="661" t="s">
        <v>796</v>
      </c>
      <c r="E108" s="1484"/>
      <c r="F108" s="758" t="s">
        <v>284</v>
      </c>
      <c r="G108" s="664"/>
      <c r="H108" s="673"/>
      <c r="I108" s="664"/>
      <c r="J108" s="673"/>
      <c r="K108" s="687"/>
      <c r="L108" s="755"/>
      <c r="N108" s="666"/>
      <c r="O108" s="667"/>
      <c r="P108" s="668"/>
      <c r="Q108" s="669"/>
      <c r="R108" s="668"/>
      <c r="S108" s="669"/>
      <c r="T108" s="670"/>
      <c r="U108" s="671"/>
    </row>
    <row r="109" spans="1:21" s="665" customFormat="1">
      <c r="A109" s="660"/>
      <c r="B109" s="739"/>
      <c r="C109" s="736" t="s">
        <v>282</v>
      </c>
      <c r="D109" s="661" t="s">
        <v>797</v>
      </c>
      <c r="E109" s="1484"/>
      <c r="F109" s="758" t="s">
        <v>284</v>
      </c>
      <c r="G109" s="664"/>
      <c r="H109" s="673"/>
      <c r="I109" s="664"/>
      <c r="J109" s="673"/>
      <c r="K109" s="687"/>
      <c r="L109" s="755"/>
      <c r="N109" s="666"/>
      <c r="O109" s="667"/>
      <c r="P109" s="668"/>
      <c r="Q109" s="669"/>
      <c r="R109" s="668"/>
      <c r="S109" s="669"/>
      <c r="T109" s="670"/>
      <c r="U109" s="671"/>
    </row>
    <row r="110" spans="1:21" s="665" customFormat="1">
      <c r="A110" s="660"/>
      <c r="B110" s="739"/>
      <c r="C110" s="736" t="s">
        <v>282</v>
      </c>
      <c r="D110" s="661" t="s">
        <v>286</v>
      </c>
      <c r="E110" s="1484"/>
      <c r="F110" s="758" t="s">
        <v>287</v>
      </c>
      <c r="G110" s="664"/>
      <c r="H110" s="673"/>
      <c r="I110" s="664"/>
      <c r="J110" s="673"/>
      <c r="K110" s="687"/>
      <c r="L110" s="755"/>
      <c r="N110" s="666"/>
      <c r="O110" s="667"/>
      <c r="P110" s="668"/>
      <c r="Q110" s="669"/>
      <c r="R110" s="668"/>
      <c r="S110" s="669"/>
      <c r="T110" s="670"/>
      <c r="U110" s="671"/>
    </row>
    <row r="111" spans="1:21" s="730" customFormat="1">
      <c r="A111" s="727"/>
      <c r="B111" s="739"/>
      <c r="C111" s="736" t="s">
        <v>282</v>
      </c>
      <c r="D111" s="661" t="s">
        <v>288</v>
      </c>
      <c r="E111" s="1485"/>
      <c r="F111" s="759" t="s">
        <v>287</v>
      </c>
      <c r="G111" s="673"/>
      <c r="H111" s="673"/>
      <c r="I111" s="673"/>
      <c r="J111" s="673"/>
      <c r="K111" s="687"/>
      <c r="L111" s="755"/>
      <c r="N111" s="731"/>
      <c r="O111" s="5"/>
      <c r="P111" s="732"/>
      <c r="Q111" s="733"/>
      <c r="R111" s="732"/>
      <c r="S111" s="733"/>
      <c r="T111" s="734"/>
      <c r="U111" s="735"/>
    </row>
    <row r="112" spans="1:21" s="730" customFormat="1">
      <c r="A112" s="727"/>
      <c r="B112" s="739"/>
      <c r="C112" s="736" t="s">
        <v>282</v>
      </c>
      <c r="D112" s="661" t="s">
        <v>289</v>
      </c>
      <c r="E112" s="1485"/>
      <c r="F112" s="759" t="s">
        <v>287</v>
      </c>
      <c r="G112" s="673"/>
      <c r="H112" s="673"/>
      <c r="I112" s="673"/>
      <c r="J112" s="673"/>
      <c r="K112" s="687"/>
      <c r="L112" s="755"/>
      <c r="N112" s="731"/>
      <c r="O112" s="5"/>
      <c r="P112" s="732"/>
      <c r="Q112" s="733"/>
      <c r="R112" s="732"/>
      <c r="S112" s="733"/>
      <c r="T112" s="734"/>
      <c r="U112" s="735"/>
    </row>
    <row r="113" spans="1:21" s="730" customFormat="1">
      <c r="A113" s="727"/>
      <c r="B113" s="739"/>
      <c r="C113" s="736" t="s">
        <v>282</v>
      </c>
      <c r="D113" s="661" t="s">
        <v>290</v>
      </c>
      <c r="E113" s="1485"/>
      <c r="F113" s="759" t="s">
        <v>287</v>
      </c>
      <c r="G113" s="673"/>
      <c r="H113" s="673"/>
      <c r="I113" s="673"/>
      <c r="J113" s="673"/>
      <c r="K113" s="687"/>
      <c r="L113" s="755"/>
      <c r="N113" s="731"/>
      <c r="O113" s="5"/>
      <c r="P113" s="732"/>
      <c r="Q113" s="733"/>
      <c r="R113" s="732"/>
      <c r="S113" s="733"/>
      <c r="T113" s="734"/>
      <c r="U113" s="735"/>
    </row>
    <row r="114" spans="1:21" s="730" customFormat="1">
      <c r="A114" s="727"/>
      <c r="B114" s="739" t="s">
        <v>291</v>
      </c>
      <c r="C114" s="1332" t="s">
        <v>292</v>
      </c>
      <c r="E114" s="1485"/>
      <c r="F114" s="759"/>
      <c r="G114" s="673"/>
      <c r="H114" s="673"/>
      <c r="I114" s="673"/>
      <c r="J114" s="673"/>
      <c r="K114" s="687"/>
      <c r="L114" s="755"/>
      <c r="N114" s="731"/>
      <c r="O114" s="5"/>
      <c r="P114" s="732"/>
      <c r="Q114" s="733"/>
      <c r="R114" s="732"/>
      <c r="S114" s="733"/>
      <c r="T114" s="734"/>
      <c r="U114" s="735"/>
    </row>
    <row r="115" spans="1:21" s="730" customFormat="1">
      <c r="A115" s="727"/>
      <c r="B115" s="739"/>
      <c r="C115" s="736" t="s">
        <v>282</v>
      </c>
      <c r="D115" s="661" t="s">
        <v>637</v>
      </c>
      <c r="E115" s="1485"/>
      <c r="F115" s="759" t="s">
        <v>284</v>
      </c>
      <c r="G115" s="673"/>
      <c r="H115" s="673"/>
      <c r="I115" s="673"/>
      <c r="J115" s="673"/>
      <c r="K115" s="687"/>
      <c r="L115" s="755"/>
      <c r="N115" s="731"/>
      <c r="O115" s="5"/>
      <c r="P115" s="732"/>
      <c r="Q115" s="733"/>
      <c r="R115" s="732"/>
      <c r="S115" s="733"/>
      <c r="T115" s="734"/>
      <c r="U115" s="735"/>
    </row>
    <row r="116" spans="1:21" s="730" customFormat="1">
      <c r="A116" s="727"/>
      <c r="B116" s="739"/>
      <c r="C116" s="736" t="s">
        <v>282</v>
      </c>
      <c r="D116" s="661" t="s">
        <v>295</v>
      </c>
      <c r="E116" s="1485"/>
      <c r="F116" s="759" t="s">
        <v>284</v>
      </c>
      <c r="G116" s="673"/>
      <c r="H116" s="673"/>
      <c r="I116" s="673"/>
      <c r="J116" s="673"/>
      <c r="K116" s="687"/>
      <c r="L116" s="755"/>
      <c r="N116" s="731"/>
      <c r="O116" s="5"/>
      <c r="P116" s="732"/>
      <c r="Q116" s="733"/>
      <c r="R116" s="732"/>
      <c r="S116" s="733"/>
      <c r="T116" s="734"/>
      <c r="U116" s="735"/>
    </row>
    <row r="117" spans="1:21" s="730" customFormat="1">
      <c r="A117" s="727"/>
      <c r="B117" s="739"/>
      <c r="C117" s="736" t="s">
        <v>282</v>
      </c>
      <c r="D117" s="661" t="s">
        <v>296</v>
      </c>
      <c r="E117" s="1485"/>
      <c r="F117" s="759" t="s">
        <v>287</v>
      </c>
      <c r="G117" s="673"/>
      <c r="H117" s="673"/>
      <c r="I117" s="673"/>
      <c r="J117" s="673"/>
      <c r="K117" s="687"/>
      <c r="L117" s="755"/>
      <c r="N117" s="731"/>
      <c r="O117" s="5"/>
      <c r="P117" s="732"/>
      <c r="Q117" s="733"/>
      <c r="R117" s="732"/>
      <c r="S117" s="733"/>
      <c r="T117" s="734"/>
      <c r="U117" s="735"/>
    </row>
    <row r="118" spans="1:21" s="730" customFormat="1">
      <c r="A118" s="727"/>
      <c r="B118" s="739"/>
      <c r="C118" s="736" t="s">
        <v>282</v>
      </c>
      <c r="D118" s="661" t="s">
        <v>289</v>
      </c>
      <c r="E118" s="1485"/>
      <c r="F118" s="759" t="s">
        <v>287</v>
      </c>
      <c r="G118" s="673"/>
      <c r="H118" s="673"/>
      <c r="I118" s="673"/>
      <c r="J118" s="673"/>
      <c r="K118" s="687"/>
      <c r="L118" s="755"/>
      <c r="N118" s="731"/>
      <c r="O118" s="5"/>
      <c r="P118" s="732"/>
      <c r="Q118" s="733"/>
      <c r="R118" s="732"/>
      <c r="S118" s="733"/>
      <c r="T118" s="734"/>
      <c r="U118" s="735"/>
    </row>
    <row r="119" spans="1:21" s="730" customFormat="1">
      <c r="A119" s="727"/>
      <c r="B119" s="739"/>
      <c r="C119" s="736" t="s">
        <v>282</v>
      </c>
      <c r="D119" s="661" t="s">
        <v>290</v>
      </c>
      <c r="E119" s="1485"/>
      <c r="F119" s="759" t="s">
        <v>287</v>
      </c>
      <c r="G119" s="673"/>
      <c r="H119" s="673"/>
      <c r="I119" s="673"/>
      <c r="J119" s="673"/>
      <c r="K119" s="687"/>
      <c r="L119" s="755"/>
      <c r="N119" s="731"/>
      <c r="O119" s="5"/>
      <c r="P119" s="732"/>
      <c r="Q119" s="733"/>
      <c r="R119" s="732"/>
      <c r="S119" s="733"/>
      <c r="T119" s="734"/>
      <c r="U119" s="735"/>
    </row>
    <row r="120" spans="1:21" s="730" customFormat="1">
      <c r="A120" s="727"/>
      <c r="B120" s="737" t="s">
        <v>297</v>
      </c>
      <c r="C120" s="1332" t="s">
        <v>298</v>
      </c>
      <c r="E120" s="1485"/>
      <c r="F120" s="759"/>
      <c r="G120" s="673"/>
      <c r="H120" s="673"/>
      <c r="I120" s="673"/>
      <c r="J120" s="673"/>
      <c r="K120" s="687"/>
      <c r="L120" s="755"/>
      <c r="N120" s="731"/>
      <c r="O120" s="5"/>
      <c r="P120" s="732"/>
      <c r="Q120" s="733"/>
      <c r="R120" s="732"/>
      <c r="S120" s="733"/>
      <c r="T120" s="734"/>
      <c r="U120" s="735"/>
    </row>
    <row r="121" spans="1:21" s="730" customFormat="1">
      <c r="A121" s="727"/>
      <c r="B121" s="739"/>
      <c r="C121" s="736" t="s">
        <v>282</v>
      </c>
      <c r="D121" s="661" t="s">
        <v>298</v>
      </c>
      <c r="E121" s="1485"/>
      <c r="F121" s="759" t="s">
        <v>287</v>
      </c>
      <c r="G121" s="673"/>
      <c r="H121" s="673"/>
      <c r="I121" s="673"/>
      <c r="J121" s="673"/>
      <c r="K121" s="687"/>
      <c r="L121" s="755"/>
      <c r="N121" s="731"/>
      <c r="O121" s="5"/>
      <c r="P121" s="732"/>
      <c r="Q121" s="733"/>
      <c r="R121" s="732"/>
      <c r="S121" s="733"/>
      <c r="T121" s="734"/>
      <c r="U121" s="735"/>
    </row>
    <row r="122" spans="1:21" s="730" customFormat="1">
      <c r="A122" s="727"/>
      <c r="B122" s="739"/>
      <c r="C122" s="736" t="s">
        <v>282</v>
      </c>
      <c r="D122" s="661" t="s">
        <v>299</v>
      </c>
      <c r="E122" s="1485"/>
      <c r="F122" s="759" t="s">
        <v>287</v>
      </c>
      <c r="G122" s="673"/>
      <c r="H122" s="673"/>
      <c r="I122" s="673"/>
      <c r="J122" s="673"/>
      <c r="K122" s="687"/>
      <c r="L122" s="755"/>
      <c r="N122" s="731"/>
      <c r="O122" s="5"/>
      <c r="P122" s="732"/>
      <c r="Q122" s="733"/>
      <c r="R122" s="732"/>
      <c r="S122" s="733"/>
      <c r="T122" s="734"/>
      <c r="U122" s="735"/>
    </row>
    <row r="123" spans="1:21" s="730" customFormat="1">
      <c r="A123" s="727"/>
      <c r="B123" s="739"/>
      <c r="C123" s="736" t="s">
        <v>282</v>
      </c>
      <c r="D123" s="661" t="s">
        <v>638</v>
      </c>
      <c r="E123" s="1485"/>
      <c r="F123" s="759" t="s">
        <v>287</v>
      </c>
      <c r="G123" s="673"/>
      <c r="H123" s="673"/>
      <c r="I123" s="673"/>
      <c r="J123" s="673"/>
      <c r="K123" s="687"/>
      <c r="L123" s="755"/>
      <c r="N123" s="731"/>
      <c r="O123" s="5"/>
      <c r="P123" s="732"/>
      <c r="Q123" s="733"/>
      <c r="R123" s="732"/>
      <c r="S123" s="733"/>
      <c r="T123" s="734"/>
      <c r="U123" s="735"/>
    </row>
    <row r="124" spans="1:21" s="730" customFormat="1">
      <c r="A124" s="727"/>
      <c r="B124" s="737" t="s">
        <v>300</v>
      </c>
      <c r="C124" s="1332" t="s">
        <v>301</v>
      </c>
      <c r="E124" s="1485"/>
      <c r="F124" s="759"/>
      <c r="G124" s="673"/>
      <c r="H124" s="673"/>
      <c r="I124" s="673"/>
      <c r="J124" s="673"/>
      <c r="K124" s="687"/>
      <c r="L124" s="755"/>
      <c r="N124" s="731"/>
      <c r="O124" s="5"/>
      <c r="P124" s="732"/>
      <c r="Q124" s="733"/>
      <c r="R124" s="732"/>
      <c r="S124" s="733"/>
      <c r="T124" s="734"/>
      <c r="U124" s="735"/>
    </row>
    <row r="125" spans="1:21" s="730" customFormat="1">
      <c r="A125" s="727"/>
      <c r="B125" s="739"/>
      <c r="C125" s="736" t="s">
        <v>282</v>
      </c>
      <c r="D125" s="661" t="s">
        <v>639</v>
      </c>
      <c r="E125" s="1485"/>
      <c r="F125" s="759" t="s">
        <v>284</v>
      </c>
      <c r="G125" s="673" t="s">
        <v>640</v>
      </c>
      <c r="H125" s="673"/>
      <c r="I125" s="673"/>
      <c r="J125" s="673"/>
      <c r="K125" s="687"/>
      <c r="L125" s="755"/>
      <c r="N125" s="731"/>
      <c r="O125" s="5"/>
      <c r="P125" s="732"/>
      <c r="Q125" s="733"/>
      <c r="R125" s="732"/>
      <c r="S125" s="733"/>
      <c r="T125" s="734"/>
      <c r="U125" s="735"/>
    </row>
    <row r="126" spans="1:21" s="730" customFormat="1">
      <c r="A126" s="727"/>
      <c r="B126" s="738"/>
      <c r="C126" s="736" t="s">
        <v>282</v>
      </c>
      <c r="D126" s="661" t="s">
        <v>798</v>
      </c>
      <c r="E126" s="1485"/>
      <c r="F126" s="759" t="s">
        <v>284</v>
      </c>
      <c r="G126" s="673" t="s">
        <v>640</v>
      </c>
      <c r="H126" s="673"/>
      <c r="I126" s="673"/>
      <c r="J126" s="673"/>
      <c r="K126" s="687"/>
      <c r="L126" s="755"/>
      <c r="N126" s="731"/>
      <c r="O126" s="5"/>
      <c r="P126" s="732"/>
      <c r="Q126" s="733"/>
      <c r="R126" s="732"/>
      <c r="S126" s="733"/>
      <c r="T126" s="734"/>
      <c r="U126" s="735"/>
    </row>
    <row r="127" spans="1:21" s="730" customFormat="1">
      <c r="A127" s="727">
        <v>3.2</v>
      </c>
      <c r="B127" s="738" t="s">
        <v>304</v>
      </c>
      <c r="C127" s="1332"/>
      <c r="E127" s="1485"/>
      <c r="F127" s="759"/>
      <c r="G127" s="673"/>
      <c r="H127" s="673"/>
      <c r="I127" s="673"/>
      <c r="J127" s="673"/>
      <c r="K127" s="687"/>
      <c r="L127" s="755"/>
      <c r="N127" s="731"/>
      <c r="O127" s="5"/>
      <c r="P127" s="732"/>
      <c r="Q127" s="733"/>
      <c r="R127" s="732"/>
      <c r="S127" s="733"/>
      <c r="T127" s="734"/>
      <c r="U127" s="735"/>
    </row>
    <row r="128" spans="1:21" s="730" customFormat="1">
      <c r="A128" s="727"/>
      <c r="B128" s="739"/>
      <c r="C128" s="736" t="s">
        <v>799</v>
      </c>
      <c r="D128" s="661" t="s">
        <v>306</v>
      </c>
      <c r="E128" s="1485"/>
      <c r="F128" s="759"/>
      <c r="G128" s="673"/>
      <c r="H128" s="673"/>
      <c r="I128" s="673"/>
      <c r="J128" s="673"/>
      <c r="K128" s="687"/>
      <c r="L128" s="755"/>
      <c r="N128" s="731"/>
      <c r="O128" s="5"/>
      <c r="P128" s="732"/>
      <c r="Q128" s="733"/>
      <c r="R128" s="732"/>
      <c r="S128" s="733"/>
      <c r="T128" s="734"/>
      <c r="U128" s="735"/>
    </row>
    <row r="129" spans="1:21" s="730" customFormat="1">
      <c r="A129" s="727"/>
      <c r="B129" s="739"/>
      <c r="C129" s="736" t="s">
        <v>282</v>
      </c>
      <c r="D129" s="661" t="s">
        <v>800</v>
      </c>
      <c r="E129" s="1485"/>
      <c r="F129" s="759" t="s">
        <v>104</v>
      </c>
      <c r="G129" s="673"/>
      <c r="H129" s="673"/>
      <c r="I129" s="673"/>
      <c r="J129" s="673"/>
      <c r="K129" s="687"/>
      <c r="L129" s="755"/>
      <c r="N129" s="731"/>
      <c r="O129" s="5"/>
      <c r="P129" s="732"/>
      <c r="Q129" s="733"/>
      <c r="R129" s="732"/>
      <c r="S129" s="733"/>
      <c r="T129" s="734"/>
      <c r="U129" s="735"/>
    </row>
    <row r="130" spans="1:21" s="730" customFormat="1">
      <c r="A130" s="727"/>
      <c r="B130" s="739"/>
      <c r="C130" s="736" t="s">
        <v>282</v>
      </c>
      <c r="D130" s="661" t="s">
        <v>307</v>
      </c>
      <c r="E130" s="1485"/>
      <c r="F130" s="759" t="s">
        <v>104</v>
      </c>
      <c r="G130" s="673"/>
      <c r="H130" s="673"/>
      <c r="I130" s="673"/>
      <c r="J130" s="673"/>
      <c r="K130" s="687"/>
      <c r="L130" s="755"/>
      <c r="N130" s="731"/>
      <c r="O130" s="5"/>
      <c r="P130" s="732"/>
      <c r="Q130" s="733"/>
      <c r="R130" s="732"/>
      <c r="S130" s="733"/>
      <c r="T130" s="734"/>
      <c r="U130" s="735"/>
    </row>
    <row r="131" spans="1:21" s="730" customFormat="1">
      <c r="A131" s="727"/>
      <c r="B131" s="739"/>
      <c r="C131" s="736" t="s">
        <v>282</v>
      </c>
      <c r="D131" s="661" t="s">
        <v>308</v>
      </c>
      <c r="E131" s="1485"/>
      <c r="F131" s="759" t="s">
        <v>104</v>
      </c>
      <c r="G131" s="673"/>
      <c r="H131" s="673"/>
      <c r="I131" s="673"/>
      <c r="J131" s="673"/>
      <c r="K131" s="687"/>
      <c r="L131" s="755"/>
      <c r="N131" s="731"/>
      <c r="O131" s="5"/>
      <c r="P131" s="732"/>
      <c r="Q131" s="733"/>
      <c r="R131" s="732"/>
      <c r="S131" s="733"/>
      <c r="T131" s="734"/>
      <c r="U131" s="735"/>
    </row>
    <row r="132" spans="1:21" s="730" customFormat="1">
      <c r="A132" s="727"/>
      <c r="B132" s="739"/>
      <c r="C132" s="736" t="s">
        <v>282</v>
      </c>
      <c r="D132" s="661" t="s">
        <v>309</v>
      </c>
      <c r="E132" s="1485"/>
      <c r="F132" s="759" t="s">
        <v>104</v>
      </c>
      <c r="G132" s="673"/>
      <c r="H132" s="673"/>
      <c r="I132" s="673"/>
      <c r="J132" s="673"/>
      <c r="K132" s="687"/>
      <c r="L132" s="755"/>
      <c r="N132" s="731"/>
      <c r="O132" s="5"/>
      <c r="P132" s="732"/>
      <c r="Q132" s="733"/>
      <c r="R132" s="732"/>
      <c r="S132" s="733"/>
      <c r="T132" s="734"/>
      <c r="U132" s="735"/>
    </row>
    <row r="133" spans="1:21" s="730" customFormat="1">
      <c r="A133" s="727"/>
      <c r="B133" s="736"/>
      <c r="C133" s="736" t="s">
        <v>282</v>
      </c>
      <c r="D133" s="730" t="s">
        <v>310</v>
      </c>
      <c r="E133" s="1485"/>
      <c r="F133" s="759" t="s">
        <v>104</v>
      </c>
      <c r="G133" s="673"/>
      <c r="H133" s="673"/>
      <c r="I133" s="673"/>
      <c r="J133" s="673"/>
      <c r="K133" s="687"/>
      <c r="L133" s="755"/>
      <c r="N133" s="731"/>
      <c r="O133" s="5"/>
      <c r="P133" s="732"/>
      <c r="Q133" s="733"/>
      <c r="R133" s="732"/>
      <c r="S133" s="733"/>
      <c r="T133" s="734"/>
      <c r="U133" s="735"/>
    </row>
    <row r="134" spans="1:21" s="730" customFormat="1">
      <c r="A134" s="727"/>
      <c r="B134" s="739"/>
      <c r="C134" s="736" t="s">
        <v>282</v>
      </c>
      <c r="D134" s="661" t="s">
        <v>311</v>
      </c>
      <c r="E134" s="1485"/>
      <c r="F134" s="759" t="s">
        <v>104</v>
      </c>
      <c r="G134" s="673"/>
      <c r="H134" s="673"/>
      <c r="I134" s="673"/>
      <c r="J134" s="673"/>
      <c r="K134" s="687"/>
      <c r="L134" s="755"/>
      <c r="N134" s="731"/>
      <c r="O134" s="5"/>
      <c r="P134" s="732"/>
      <c r="Q134" s="733"/>
      <c r="R134" s="732"/>
      <c r="S134" s="733"/>
      <c r="T134" s="734"/>
      <c r="U134" s="735"/>
    </row>
    <row r="135" spans="1:21" s="730" customFormat="1">
      <c r="A135" s="727"/>
      <c r="B135" s="738"/>
      <c r="C135" s="736" t="s">
        <v>801</v>
      </c>
      <c r="D135" s="661" t="s">
        <v>306</v>
      </c>
      <c r="E135" s="1485"/>
      <c r="F135" s="759"/>
      <c r="G135" s="673"/>
      <c r="H135" s="673"/>
      <c r="I135" s="673"/>
      <c r="J135" s="673"/>
      <c r="K135" s="687"/>
      <c r="L135" s="755"/>
      <c r="N135" s="731"/>
      <c r="O135" s="5"/>
      <c r="P135" s="732"/>
      <c r="Q135" s="733"/>
      <c r="R135" s="732"/>
      <c r="S135" s="733"/>
      <c r="T135" s="734"/>
      <c r="U135" s="735"/>
    </row>
    <row r="136" spans="1:21" s="730" customFormat="1">
      <c r="A136" s="727"/>
      <c r="B136" s="736"/>
      <c r="C136" s="736" t="s">
        <v>282</v>
      </c>
      <c r="D136" s="730" t="s">
        <v>802</v>
      </c>
      <c r="E136" s="1485"/>
      <c r="F136" s="759" t="s">
        <v>104</v>
      </c>
      <c r="G136" s="673"/>
      <c r="H136" s="673"/>
      <c r="I136" s="673"/>
      <c r="J136" s="673"/>
      <c r="K136" s="687"/>
      <c r="L136" s="755"/>
      <c r="N136" s="731"/>
      <c r="O136" s="5"/>
      <c r="P136" s="732"/>
      <c r="Q136" s="733"/>
      <c r="R136" s="732"/>
      <c r="S136" s="733"/>
      <c r="T136" s="734"/>
      <c r="U136" s="735"/>
    </row>
    <row r="137" spans="1:21" s="730" customFormat="1">
      <c r="A137" s="727"/>
      <c r="B137" s="736">
        <v>1.3</v>
      </c>
      <c r="C137" s="736" t="s">
        <v>315</v>
      </c>
      <c r="D137" s="661"/>
      <c r="E137" s="1485"/>
      <c r="F137" s="759"/>
      <c r="G137" s="673"/>
      <c r="H137" s="673"/>
      <c r="I137" s="673"/>
      <c r="J137" s="673"/>
      <c r="K137" s="687"/>
      <c r="L137" s="755"/>
      <c r="N137" s="731"/>
      <c r="O137" s="5"/>
      <c r="P137" s="732"/>
      <c r="Q137" s="733"/>
      <c r="R137" s="732"/>
      <c r="S137" s="733"/>
      <c r="T137" s="734"/>
      <c r="U137" s="735"/>
    </row>
    <row r="138" spans="1:21" s="730" customFormat="1">
      <c r="A138" s="727"/>
      <c r="B138" s="736"/>
      <c r="C138" s="736" t="s">
        <v>152</v>
      </c>
      <c r="D138" s="661" t="s">
        <v>317</v>
      </c>
      <c r="E138" s="1485"/>
      <c r="F138" s="759"/>
      <c r="G138" s="673"/>
      <c r="H138" s="673"/>
      <c r="I138" s="673"/>
      <c r="J138" s="673"/>
      <c r="K138" s="687"/>
      <c r="L138" s="755"/>
      <c r="N138" s="731"/>
      <c r="O138" s="5"/>
      <c r="P138" s="732"/>
      <c r="Q138" s="733"/>
      <c r="R138" s="732"/>
      <c r="S138" s="733"/>
      <c r="T138" s="734"/>
      <c r="U138" s="735"/>
    </row>
    <row r="139" spans="1:21" s="730" customFormat="1">
      <c r="A139" s="727"/>
      <c r="B139" s="736"/>
      <c r="C139" s="736" t="s">
        <v>282</v>
      </c>
      <c r="D139" s="730" t="s">
        <v>318</v>
      </c>
      <c r="E139" s="1485"/>
      <c r="F139" s="759" t="s">
        <v>104</v>
      </c>
      <c r="G139" s="673"/>
      <c r="H139" s="673"/>
      <c r="I139" s="673"/>
      <c r="J139" s="673"/>
      <c r="K139" s="687"/>
      <c r="L139" s="755"/>
      <c r="N139" s="731"/>
      <c r="O139" s="5"/>
      <c r="P139" s="732"/>
      <c r="Q139" s="733"/>
      <c r="R139" s="732"/>
      <c r="S139" s="733"/>
      <c r="T139" s="734"/>
      <c r="U139" s="735"/>
    </row>
    <row r="140" spans="1:21" s="730" customFormat="1">
      <c r="A140" s="727"/>
      <c r="B140" s="736"/>
      <c r="C140" s="736" t="s">
        <v>282</v>
      </c>
      <c r="D140" s="661" t="s">
        <v>319</v>
      </c>
      <c r="E140" s="1485"/>
      <c r="F140" s="759" t="s">
        <v>104</v>
      </c>
      <c r="G140" s="673"/>
      <c r="H140" s="673"/>
      <c r="I140" s="673"/>
      <c r="J140" s="673"/>
      <c r="K140" s="687"/>
      <c r="L140" s="755"/>
      <c r="N140" s="731"/>
      <c r="O140" s="5"/>
      <c r="P140" s="732"/>
      <c r="Q140" s="733"/>
      <c r="R140" s="732"/>
      <c r="S140" s="733"/>
      <c r="T140" s="734"/>
      <c r="U140" s="735"/>
    </row>
    <row r="141" spans="1:21" s="730" customFormat="1">
      <c r="A141" s="727"/>
      <c r="B141" s="736"/>
      <c r="C141" s="736" t="s">
        <v>154</v>
      </c>
      <c r="D141" s="661" t="s">
        <v>321</v>
      </c>
      <c r="E141" s="1485"/>
      <c r="F141" s="759"/>
      <c r="G141" s="673"/>
      <c r="H141" s="673"/>
      <c r="I141" s="673"/>
      <c r="J141" s="673"/>
      <c r="K141" s="687"/>
      <c r="L141" s="755"/>
      <c r="N141" s="731"/>
      <c r="O141" s="5"/>
      <c r="P141" s="732"/>
      <c r="Q141" s="733"/>
      <c r="R141" s="732"/>
      <c r="S141" s="733"/>
      <c r="T141" s="734"/>
      <c r="U141" s="735"/>
    </row>
    <row r="142" spans="1:21" s="730" customFormat="1">
      <c r="A142" s="727"/>
      <c r="B142" s="736"/>
      <c r="C142" s="736" t="s">
        <v>282</v>
      </c>
      <c r="D142" s="730" t="s">
        <v>803</v>
      </c>
      <c r="E142" s="1485"/>
      <c r="F142" s="759" t="s">
        <v>104</v>
      </c>
      <c r="G142" s="673"/>
      <c r="H142" s="673"/>
      <c r="I142" s="673"/>
      <c r="J142" s="673"/>
      <c r="K142" s="687"/>
      <c r="L142" s="755"/>
      <c r="N142" s="731"/>
      <c r="O142" s="5"/>
      <c r="P142" s="732"/>
      <c r="Q142" s="733"/>
      <c r="R142" s="732"/>
      <c r="S142" s="733"/>
      <c r="T142" s="734"/>
      <c r="U142" s="735"/>
    </row>
    <row r="143" spans="1:21" s="730" customFormat="1">
      <c r="A143" s="727"/>
      <c r="B143" s="736"/>
      <c r="C143" s="736" t="s">
        <v>282</v>
      </c>
      <c r="D143" s="661" t="s">
        <v>323</v>
      </c>
      <c r="E143" s="1485"/>
      <c r="F143" s="759" t="s">
        <v>104</v>
      </c>
      <c r="G143" s="673"/>
      <c r="H143" s="673"/>
      <c r="I143" s="673"/>
      <c r="J143" s="673"/>
      <c r="K143" s="687"/>
      <c r="L143" s="755"/>
      <c r="N143" s="731"/>
      <c r="O143" s="5"/>
      <c r="P143" s="732"/>
      <c r="Q143" s="733"/>
      <c r="R143" s="732"/>
      <c r="S143" s="733"/>
      <c r="T143" s="734"/>
      <c r="U143" s="735"/>
    </row>
    <row r="144" spans="1:21" s="730" customFormat="1">
      <c r="A144" s="727"/>
      <c r="B144" s="736"/>
      <c r="C144" s="736" t="s">
        <v>156</v>
      </c>
      <c r="D144" s="730" t="s">
        <v>325</v>
      </c>
      <c r="E144" s="1485"/>
      <c r="F144" s="759"/>
      <c r="G144" s="673"/>
      <c r="H144" s="673"/>
      <c r="I144" s="673"/>
      <c r="J144" s="673"/>
      <c r="K144" s="687"/>
      <c r="L144" s="755"/>
      <c r="N144" s="731"/>
      <c r="O144" s="5"/>
      <c r="P144" s="732"/>
      <c r="Q144" s="733"/>
      <c r="R144" s="732"/>
      <c r="S144" s="733"/>
      <c r="T144" s="734"/>
      <c r="U144" s="735"/>
    </row>
    <row r="145" spans="1:21" s="730" customFormat="1">
      <c r="A145" s="727"/>
      <c r="B145" s="736"/>
      <c r="C145" s="736" t="s">
        <v>282</v>
      </c>
      <c r="D145" s="661" t="s">
        <v>326</v>
      </c>
      <c r="E145" s="1485"/>
      <c r="F145" s="759" t="s">
        <v>104</v>
      </c>
      <c r="G145" s="673"/>
      <c r="H145" s="673"/>
      <c r="I145" s="673"/>
      <c r="J145" s="673"/>
      <c r="K145" s="687"/>
      <c r="L145" s="755"/>
      <c r="N145" s="731"/>
      <c r="O145" s="5"/>
      <c r="P145" s="732"/>
      <c r="Q145" s="733"/>
      <c r="R145" s="732"/>
      <c r="S145" s="733"/>
      <c r="T145" s="734"/>
      <c r="U145" s="735"/>
    </row>
    <row r="146" spans="1:21" s="730" customFormat="1">
      <c r="A146" s="727"/>
      <c r="B146" s="736"/>
      <c r="C146" s="736" t="s">
        <v>158</v>
      </c>
      <c r="D146" s="661" t="s">
        <v>328</v>
      </c>
      <c r="E146" s="1485"/>
      <c r="F146" s="759"/>
      <c r="G146" s="673"/>
      <c r="H146" s="673"/>
      <c r="I146" s="673"/>
      <c r="J146" s="673"/>
      <c r="K146" s="687"/>
      <c r="L146" s="755"/>
      <c r="N146" s="731"/>
      <c r="O146" s="5"/>
      <c r="P146" s="732"/>
      <c r="Q146" s="733"/>
      <c r="R146" s="732"/>
      <c r="S146" s="733"/>
      <c r="T146" s="734"/>
      <c r="U146" s="735"/>
    </row>
    <row r="147" spans="1:21" s="730" customFormat="1">
      <c r="A147" s="727"/>
      <c r="B147" s="736"/>
      <c r="C147" s="736" t="s">
        <v>282</v>
      </c>
      <c r="D147" s="730" t="s">
        <v>329</v>
      </c>
      <c r="E147" s="1485"/>
      <c r="F147" s="759" t="s">
        <v>104</v>
      </c>
      <c r="G147" s="673"/>
      <c r="H147" s="673"/>
      <c r="I147" s="673"/>
      <c r="J147" s="673"/>
      <c r="K147" s="687"/>
      <c r="L147" s="755"/>
      <c r="N147" s="731"/>
      <c r="O147" s="5"/>
      <c r="P147" s="732"/>
      <c r="Q147" s="733"/>
      <c r="R147" s="732"/>
      <c r="S147" s="733"/>
      <c r="T147" s="734"/>
      <c r="U147" s="735"/>
    </row>
    <row r="148" spans="1:21" s="730" customFormat="1">
      <c r="A148" s="727"/>
      <c r="B148" s="736"/>
      <c r="C148" s="736" t="s">
        <v>282</v>
      </c>
      <c r="D148" s="661" t="s">
        <v>330</v>
      </c>
      <c r="E148" s="1485"/>
      <c r="F148" s="759" t="s">
        <v>104</v>
      </c>
      <c r="G148" s="673"/>
      <c r="H148" s="673"/>
      <c r="I148" s="673"/>
      <c r="J148" s="673"/>
      <c r="K148" s="687"/>
      <c r="L148" s="755"/>
      <c r="N148" s="731"/>
      <c r="O148" s="5"/>
      <c r="P148" s="732"/>
      <c r="Q148" s="733"/>
      <c r="R148" s="732"/>
      <c r="S148" s="733"/>
      <c r="T148" s="734"/>
      <c r="U148" s="735"/>
    </row>
    <row r="149" spans="1:21" s="730" customFormat="1">
      <c r="A149" s="727"/>
      <c r="B149" s="736"/>
      <c r="C149" s="736" t="s">
        <v>160</v>
      </c>
      <c r="D149" s="661" t="s">
        <v>332</v>
      </c>
      <c r="E149" s="1485"/>
      <c r="F149" s="759"/>
      <c r="G149" s="673"/>
      <c r="H149" s="673"/>
      <c r="I149" s="673"/>
      <c r="J149" s="673"/>
      <c r="K149" s="687"/>
      <c r="L149" s="755"/>
      <c r="N149" s="731"/>
      <c r="O149" s="5"/>
      <c r="P149" s="732"/>
      <c r="Q149" s="733"/>
      <c r="R149" s="732"/>
      <c r="S149" s="733"/>
      <c r="T149" s="734"/>
      <c r="U149" s="735"/>
    </row>
    <row r="150" spans="1:21" s="730" customFormat="1">
      <c r="A150" s="727"/>
      <c r="B150" s="736"/>
      <c r="C150" s="736" t="s">
        <v>282</v>
      </c>
      <c r="D150" s="728" t="s">
        <v>318</v>
      </c>
      <c r="E150" s="1485"/>
      <c r="F150" s="759" t="s">
        <v>104</v>
      </c>
      <c r="G150" s="673"/>
      <c r="H150" s="673"/>
      <c r="I150" s="673"/>
      <c r="J150" s="673"/>
      <c r="K150" s="687"/>
      <c r="L150" s="755"/>
      <c r="N150" s="731"/>
      <c r="O150" s="5"/>
      <c r="P150" s="732"/>
      <c r="Q150" s="733"/>
      <c r="R150" s="732"/>
      <c r="S150" s="733"/>
      <c r="T150" s="734"/>
      <c r="U150" s="735"/>
    </row>
    <row r="151" spans="1:21" s="730" customFormat="1">
      <c r="A151" s="727"/>
      <c r="B151" s="736"/>
      <c r="C151" s="736" t="s">
        <v>282</v>
      </c>
      <c r="D151" s="661" t="s">
        <v>319</v>
      </c>
      <c r="E151" s="1485"/>
      <c r="F151" s="759" t="s">
        <v>104</v>
      </c>
      <c r="G151" s="673"/>
      <c r="H151" s="673"/>
      <c r="I151" s="673"/>
      <c r="J151" s="673"/>
      <c r="K151" s="687"/>
      <c r="L151" s="755"/>
      <c r="N151" s="731"/>
      <c r="O151" s="5"/>
      <c r="P151" s="732"/>
      <c r="Q151" s="733"/>
      <c r="R151" s="732"/>
      <c r="S151" s="733"/>
      <c r="T151" s="734"/>
      <c r="U151" s="735"/>
    </row>
    <row r="152" spans="1:21" s="730" customFormat="1">
      <c r="A152" s="727"/>
      <c r="B152" s="736"/>
      <c r="C152" s="736" t="s">
        <v>162</v>
      </c>
      <c r="D152" s="661" t="s">
        <v>334</v>
      </c>
      <c r="E152" s="1485"/>
      <c r="F152" s="759"/>
      <c r="G152" s="673"/>
      <c r="H152" s="673"/>
      <c r="I152" s="673"/>
      <c r="J152" s="673"/>
      <c r="K152" s="687"/>
      <c r="L152" s="755"/>
      <c r="N152" s="731"/>
      <c r="O152" s="5"/>
      <c r="P152" s="732"/>
      <c r="Q152" s="733"/>
      <c r="R152" s="732"/>
      <c r="S152" s="733"/>
      <c r="T152" s="734"/>
      <c r="U152" s="735"/>
    </row>
    <row r="153" spans="1:21" s="730" customFormat="1">
      <c r="A153" s="727"/>
      <c r="B153" s="736"/>
      <c r="C153" s="736" t="s">
        <v>282</v>
      </c>
      <c r="D153" s="728" t="s">
        <v>804</v>
      </c>
      <c r="E153" s="1485"/>
      <c r="F153" s="759" t="s">
        <v>104</v>
      </c>
      <c r="G153" s="673"/>
      <c r="H153" s="673"/>
      <c r="I153" s="673"/>
      <c r="J153" s="673"/>
      <c r="K153" s="687"/>
      <c r="L153" s="755"/>
      <c r="N153" s="731"/>
      <c r="O153" s="5"/>
      <c r="P153" s="732"/>
      <c r="Q153" s="733"/>
      <c r="R153" s="732"/>
      <c r="S153" s="733"/>
      <c r="T153" s="734"/>
      <c r="U153" s="735"/>
    </row>
    <row r="154" spans="1:21" s="730" customFormat="1">
      <c r="A154" s="727"/>
      <c r="B154" s="736"/>
      <c r="C154" s="736" t="s">
        <v>282</v>
      </c>
      <c r="D154" s="728" t="s">
        <v>336</v>
      </c>
      <c r="E154" s="1485"/>
      <c r="F154" s="759" t="s">
        <v>104</v>
      </c>
      <c r="G154" s="673"/>
      <c r="H154" s="673"/>
      <c r="I154" s="673"/>
      <c r="J154" s="673"/>
      <c r="K154" s="687"/>
      <c r="L154" s="755"/>
      <c r="N154" s="731"/>
      <c r="O154" s="5"/>
      <c r="P154" s="732"/>
      <c r="Q154" s="733"/>
      <c r="R154" s="732"/>
      <c r="S154" s="733"/>
      <c r="T154" s="734"/>
      <c r="U154" s="735"/>
    </row>
    <row r="155" spans="1:21" s="730" customFormat="1">
      <c r="A155" s="727"/>
      <c r="B155" s="738"/>
      <c r="C155" s="736" t="s">
        <v>164</v>
      </c>
      <c r="D155" s="661" t="s">
        <v>338</v>
      </c>
      <c r="E155" s="1485"/>
      <c r="F155" s="759" t="s">
        <v>284</v>
      </c>
      <c r="G155" s="673"/>
      <c r="H155" s="673"/>
      <c r="I155" s="673"/>
      <c r="J155" s="673"/>
      <c r="K155" s="687"/>
      <c r="L155" s="755"/>
      <c r="N155" s="731"/>
      <c r="O155" s="5"/>
      <c r="P155" s="732"/>
      <c r="Q155" s="733"/>
      <c r="R155" s="732"/>
      <c r="S155" s="733"/>
      <c r="T155" s="734"/>
      <c r="U155" s="735"/>
    </row>
    <row r="156" spans="1:21" s="730" customFormat="1">
      <c r="A156" s="727"/>
      <c r="B156" s="775"/>
      <c r="C156" s="736" t="s">
        <v>164</v>
      </c>
      <c r="D156" s="661" t="s">
        <v>339</v>
      </c>
      <c r="E156" s="1485"/>
      <c r="F156" s="759" t="s">
        <v>340</v>
      </c>
      <c r="G156" s="673"/>
      <c r="H156" s="673"/>
      <c r="I156" s="673"/>
      <c r="J156" s="673"/>
      <c r="K156" s="687"/>
      <c r="L156" s="755"/>
      <c r="N156" s="731"/>
      <c r="O156" s="5"/>
      <c r="P156" s="732"/>
      <c r="Q156" s="733"/>
      <c r="R156" s="732"/>
      <c r="S156" s="733"/>
      <c r="T156" s="734"/>
      <c r="U156" s="735"/>
    </row>
    <row r="157" spans="1:21" s="730" customFormat="1">
      <c r="A157" s="727"/>
      <c r="B157" s="739">
        <v>1.4</v>
      </c>
      <c r="C157" s="736" t="s">
        <v>341</v>
      </c>
      <c r="D157" s="661"/>
      <c r="E157" s="1485"/>
      <c r="F157" s="759"/>
      <c r="G157" s="673"/>
      <c r="H157" s="673"/>
      <c r="I157" s="673"/>
      <c r="J157" s="673"/>
      <c r="K157" s="687"/>
      <c r="L157" s="755"/>
      <c r="N157" s="731"/>
      <c r="O157" s="5"/>
      <c r="P157" s="732"/>
      <c r="Q157" s="733"/>
      <c r="R157" s="732"/>
      <c r="S157" s="733"/>
      <c r="T157" s="734"/>
      <c r="U157" s="735"/>
    </row>
    <row r="158" spans="1:21" s="730" customFormat="1">
      <c r="A158" s="727"/>
      <c r="B158" s="739"/>
      <c r="C158" s="736" t="s">
        <v>805</v>
      </c>
      <c r="D158" s="661" t="s">
        <v>646</v>
      </c>
      <c r="E158" s="1485"/>
      <c r="F158" s="759" t="s">
        <v>284</v>
      </c>
      <c r="G158" s="673"/>
      <c r="H158" s="673"/>
      <c r="I158" s="673"/>
      <c r="J158" s="673"/>
      <c r="K158" s="687"/>
      <c r="L158" s="755"/>
      <c r="N158" s="731"/>
      <c r="O158" s="5"/>
      <c r="P158" s="732"/>
      <c r="Q158" s="733"/>
      <c r="R158" s="732"/>
      <c r="S158" s="733"/>
      <c r="T158" s="734"/>
      <c r="U158" s="735"/>
    </row>
    <row r="159" spans="1:21" s="730" customFormat="1">
      <c r="A159" s="727"/>
      <c r="B159" s="739"/>
      <c r="C159" s="736" t="s">
        <v>806</v>
      </c>
      <c r="D159" s="661" t="s">
        <v>648</v>
      </c>
      <c r="E159" s="1485"/>
      <c r="F159" s="759" t="s">
        <v>284</v>
      </c>
      <c r="G159" s="673"/>
      <c r="H159" s="673"/>
      <c r="I159" s="673"/>
      <c r="J159" s="673"/>
      <c r="K159" s="687"/>
      <c r="L159" s="755"/>
      <c r="N159" s="731"/>
      <c r="O159" s="5"/>
      <c r="P159" s="732"/>
      <c r="Q159" s="733"/>
      <c r="R159" s="732"/>
      <c r="S159" s="733"/>
      <c r="T159" s="734"/>
      <c r="U159" s="735"/>
    </row>
    <row r="160" spans="1:21" s="730" customFormat="1">
      <c r="A160" s="727"/>
      <c r="B160" s="739"/>
      <c r="C160" s="736" t="s">
        <v>807</v>
      </c>
      <c r="D160" s="661" t="s">
        <v>650</v>
      </c>
      <c r="E160" s="1485"/>
      <c r="F160" s="759" t="s">
        <v>284</v>
      </c>
      <c r="G160" s="673"/>
      <c r="H160" s="673"/>
      <c r="I160" s="673"/>
      <c r="J160" s="673"/>
      <c r="K160" s="687"/>
      <c r="L160" s="755"/>
      <c r="N160" s="731"/>
      <c r="O160" s="5"/>
      <c r="P160" s="732"/>
      <c r="Q160" s="733"/>
      <c r="R160" s="732"/>
      <c r="S160" s="733"/>
      <c r="T160" s="734"/>
      <c r="U160" s="735"/>
    </row>
    <row r="161" spans="1:21" s="730" customFormat="1">
      <c r="A161" s="727"/>
      <c r="B161" s="739"/>
      <c r="C161" s="736" t="s">
        <v>808</v>
      </c>
      <c r="D161" s="661" t="s">
        <v>809</v>
      </c>
      <c r="E161" s="1485"/>
      <c r="F161" s="759" t="s">
        <v>284</v>
      </c>
      <c r="G161" s="673"/>
      <c r="H161" s="673"/>
      <c r="I161" s="673"/>
      <c r="J161" s="673"/>
      <c r="K161" s="687"/>
      <c r="L161" s="755"/>
      <c r="N161" s="731"/>
      <c r="O161" s="5"/>
      <c r="P161" s="732"/>
      <c r="Q161" s="733"/>
      <c r="R161" s="732"/>
      <c r="S161" s="733"/>
      <c r="T161" s="734"/>
      <c r="U161" s="735"/>
    </row>
    <row r="162" spans="1:21" s="730" customFormat="1">
      <c r="A162" s="727"/>
      <c r="B162" s="739"/>
      <c r="C162" s="736" t="s">
        <v>810</v>
      </c>
      <c r="D162" s="661" t="s">
        <v>811</v>
      </c>
      <c r="E162" s="1485"/>
      <c r="F162" s="759" t="s">
        <v>284</v>
      </c>
      <c r="G162" s="673"/>
      <c r="H162" s="673"/>
      <c r="I162" s="673"/>
      <c r="J162" s="673"/>
      <c r="K162" s="687"/>
      <c r="L162" s="755"/>
      <c r="N162" s="731"/>
      <c r="O162" s="5"/>
      <c r="P162" s="732"/>
      <c r="Q162" s="733"/>
      <c r="R162" s="732"/>
      <c r="S162" s="733"/>
      <c r="T162" s="734"/>
      <c r="U162" s="735"/>
    </row>
    <row r="163" spans="1:21" s="730" customFormat="1">
      <c r="A163" s="727"/>
      <c r="B163" s="739"/>
      <c r="C163" s="736" t="s">
        <v>812</v>
      </c>
      <c r="D163" s="661" t="s">
        <v>652</v>
      </c>
      <c r="E163" s="1485"/>
      <c r="F163" s="759" t="s">
        <v>284</v>
      </c>
      <c r="G163" s="673"/>
      <c r="H163" s="673"/>
      <c r="I163" s="673"/>
      <c r="J163" s="673"/>
      <c r="K163" s="687"/>
      <c r="L163" s="755"/>
      <c r="N163" s="731"/>
      <c r="O163" s="5"/>
      <c r="P163" s="732"/>
      <c r="Q163" s="733"/>
      <c r="R163" s="732"/>
      <c r="S163" s="733"/>
      <c r="T163" s="734"/>
      <c r="U163" s="735"/>
    </row>
    <row r="164" spans="1:21" s="730" customFormat="1">
      <c r="A164" s="727"/>
      <c r="B164" s="739"/>
      <c r="C164" s="738" t="s">
        <v>813</v>
      </c>
      <c r="D164" s="661" t="s">
        <v>654</v>
      </c>
      <c r="E164" s="1485"/>
      <c r="F164" s="759" t="s">
        <v>284</v>
      </c>
      <c r="G164" s="673"/>
      <c r="H164" s="673"/>
      <c r="I164" s="673"/>
      <c r="J164" s="673"/>
      <c r="K164" s="687"/>
      <c r="L164" s="755"/>
      <c r="N164" s="731"/>
      <c r="O164" s="5"/>
      <c r="P164" s="732"/>
      <c r="Q164" s="733"/>
      <c r="R164" s="732"/>
      <c r="S164" s="733"/>
      <c r="T164" s="734"/>
      <c r="U164" s="735"/>
    </row>
    <row r="165" spans="1:21" s="730" customFormat="1" ht="43.5">
      <c r="A165" s="727"/>
      <c r="B165" s="739"/>
      <c r="C165" s="1316" t="s">
        <v>814</v>
      </c>
      <c r="D165" s="661" t="s">
        <v>815</v>
      </c>
      <c r="E165" s="1485"/>
      <c r="F165" s="759" t="s">
        <v>284</v>
      </c>
      <c r="G165" s="673"/>
      <c r="H165" s="673"/>
      <c r="I165" s="673"/>
      <c r="J165" s="673"/>
      <c r="K165" s="687"/>
      <c r="L165" s="755"/>
      <c r="N165" s="731"/>
      <c r="O165" s="5"/>
      <c r="P165" s="732"/>
      <c r="Q165" s="733"/>
      <c r="R165" s="732"/>
      <c r="S165" s="733"/>
      <c r="T165" s="734"/>
      <c r="U165" s="735"/>
    </row>
    <row r="166" spans="1:21" s="730" customFormat="1" ht="43.5">
      <c r="A166" s="727"/>
      <c r="B166" s="739"/>
      <c r="C166" s="1316" t="s">
        <v>816</v>
      </c>
      <c r="D166" s="661" t="s">
        <v>357</v>
      </c>
      <c r="E166" s="1485"/>
      <c r="F166" s="759" t="s">
        <v>284</v>
      </c>
      <c r="G166" s="673"/>
      <c r="H166" s="673"/>
      <c r="I166" s="673"/>
      <c r="J166" s="673"/>
      <c r="K166" s="687"/>
      <c r="L166" s="755"/>
      <c r="N166" s="731"/>
      <c r="O166" s="5"/>
      <c r="P166" s="732"/>
      <c r="Q166" s="733"/>
      <c r="R166" s="732"/>
      <c r="S166" s="733"/>
      <c r="T166" s="734"/>
      <c r="U166" s="735"/>
    </row>
    <row r="167" spans="1:21" s="730" customFormat="1">
      <c r="A167" s="727"/>
      <c r="B167" s="739">
        <v>1.5</v>
      </c>
      <c r="C167" s="1316" t="s">
        <v>358</v>
      </c>
      <c r="D167" s="661"/>
      <c r="E167" s="1485"/>
      <c r="F167" s="759"/>
      <c r="G167" s="673"/>
      <c r="H167" s="673"/>
      <c r="I167" s="673"/>
      <c r="J167" s="673"/>
      <c r="K167" s="687"/>
      <c r="L167" s="755"/>
      <c r="N167" s="731"/>
      <c r="O167" s="5"/>
      <c r="P167" s="732"/>
      <c r="Q167" s="733"/>
      <c r="R167" s="732"/>
      <c r="S167" s="733"/>
      <c r="T167" s="734"/>
      <c r="U167" s="735"/>
    </row>
    <row r="168" spans="1:21" s="730" customFormat="1">
      <c r="A168" s="727"/>
      <c r="B168" s="739"/>
      <c r="C168" s="736" t="s">
        <v>817</v>
      </c>
      <c r="D168" s="661" t="s">
        <v>360</v>
      </c>
      <c r="E168" s="1485"/>
      <c r="F168" s="759" t="s">
        <v>284</v>
      </c>
      <c r="G168" s="673"/>
      <c r="H168" s="673"/>
      <c r="I168" s="673"/>
      <c r="J168" s="673"/>
      <c r="K168" s="687"/>
      <c r="L168" s="755"/>
      <c r="N168" s="731"/>
      <c r="O168" s="5"/>
      <c r="P168" s="732"/>
      <c r="Q168" s="733"/>
      <c r="R168" s="732"/>
      <c r="S168" s="733"/>
      <c r="T168" s="734"/>
      <c r="U168" s="735"/>
    </row>
    <row r="169" spans="1:21" s="730" customFormat="1">
      <c r="A169" s="727"/>
      <c r="B169" s="739"/>
      <c r="C169" s="738" t="s">
        <v>818</v>
      </c>
      <c r="D169" s="661" t="s">
        <v>362</v>
      </c>
      <c r="E169" s="1485"/>
      <c r="F169" s="759" t="s">
        <v>284</v>
      </c>
      <c r="G169" s="673"/>
      <c r="H169" s="673"/>
      <c r="I169" s="673"/>
      <c r="J169" s="673"/>
      <c r="K169" s="687"/>
      <c r="L169" s="755"/>
      <c r="N169" s="731"/>
      <c r="O169" s="5"/>
      <c r="P169" s="732"/>
      <c r="Q169" s="733"/>
      <c r="R169" s="732"/>
      <c r="S169" s="733"/>
      <c r="T169" s="734"/>
      <c r="U169" s="735"/>
    </row>
    <row r="170" spans="1:21" s="730" customFormat="1" ht="43.5">
      <c r="A170" s="727"/>
      <c r="B170" s="739"/>
      <c r="C170" s="1316" t="s">
        <v>819</v>
      </c>
      <c r="D170" s="661" t="s">
        <v>364</v>
      </c>
      <c r="E170" s="1485"/>
      <c r="F170" s="759" t="s">
        <v>284</v>
      </c>
      <c r="G170" s="673"/>
      <c r="H170" s="673"/>
      <c r="I170" s="673"/>
      <c r="J170" s="673"/>
      <c r="K170" s="687"/>
      <c r="L170" s="755"/>
      <c r="N170" s="731"/>
      <c r="O170" s="5"/>
      <c r="P170" s="732"/>
      <c r="Q170" s="733"/>
      <c r="R170" s="732"/>
      <c r="S170" s="733"/>
      <c r="T170" s="734"/>
      <c r="U170" s="735"/>
    </row>
    <row r="171" spans="1:21" s="730" customFormat="1">
      <c r="A171" s="727"/>
      <c r="B171" s="739">
        <v>1.6</v>
      </c>
      <c r="C171" s="1316" t="s">
        <v>365</v>
      </c>
      <c r="D171" s="661"/>
      <c r="E171" s="1485"/>
      <c r="F171" s="759"/>
      <c r="G171" s="673"/>
      <c r="H171" s="673"/>
      <c r="I171" s="673"/>
      <c r="J171" s="673"/>
      <c r="K171" s="687"/>
      <c r="L171" s="755"/>
      <c r="N171" s="731"/>
      <c r="O171" s="5"/>
      <c r="P171" s="732"/>
      <c r="Q171" s="733"/>
      <c r="R171" s="732"/>
      <c r="S171" s="733"/>
      <c r="T171" s="734"/>
      <c r="U171" s="735"/>
    </row>
    <row r="172" spans="1:21" s="730" customFormat="1">
      <c r="A172" s="727"/>
      <c r="B172" s="739"/>
      <c r="C172" s="1316" t="s">
        <v>820</v>
      </c>
      <c r="D172" s="661" t="s">
        <v>367</v>
      </c>
      <c r="E172" s="1485"/>
      <c r="F172" s="759" t="s">
        <v>171</v>
      </c>
      <c r="G172" s="673"/>
      <c r="H172" s="673"/>
      <c r="I172" s="673"/>
      <c r="J172" s="673"/>
      <c r="K172" s="687"/>
      <c r="L172" s="755"/>
      <c r="N172" s="731"/>
      <c r="O172" s="5"/>
      <c r="P172" s="732"/>
      <c r="Q172" s="733"/>
      <c r="R172" s="732"/>
      <c r="S172" s="733"/>
      <c r="T172" s="734"/>
      <c r="U172" s="735"/>
    </row>
    <row r="173" spans="1:21" s="730" customFormat="1">
      <c r="A173" s="727"/>
      <c r="B173" s="739"/>
      <c r="C173" s="1316" t="s">
        <v>821</v>
      </c>
      <c r="D173" s="661" t="s">
        <v>369</v>
      </c>
      <c r="E173" s="1485"/>
      <c r="F173" s="759" t="s">
        <v>284</v>
      </c>
      <c r="G173" s="673"/>
      <c r="H173" s="673"/>
      <c r="I173" s="673"/>
      <c r="J173" s="673"/>
      <c r="K173" s="687"/>
      <c r="L173" s="755"/>
      <c r="N173" s="731"/>
      <c r="O173" s="5"/>
      <c r="P173" s="732"/>
      <c r="Q173" s="733"/>
      <c r="R173" s="732"/>
      <c r="S173" s="733"/>
      <c r="T173" s="734"/>
      <c r="U173" s="735"/>
    </row>
    <row r="174" spans="1:21" s="730" customFormat="1">
      <c r="A174" s="727"/>
      <c r="B174" s="739"/>
      <c r="C174" s="1316" t="s">
        <v>822</v>
      </c>
      <c r="D174" s="661" t="s">
        <v>371</v>
      </c>
      <c r="E174" s="1485"/>
      <c r="F174" s="759" t="s">
        <v>340</v>
      </c>
      <c r="G174" s="673"/>
      <c r="H174" s="673"/>
      <c r="I174" s="673"/>
      <c r="J174" s="673"/>
      <c r="K174" s="687"/>
      <c r="L174" s="755"/>
      <c r="N174" s="731"/>
      <c r="O174" s="5"/>
      <c r="P174" s="732"/>
      <c r="Q174" s="733"/>
      <c r="R174" s="732"/>
      <c r="S174" s="733"/>
      <c r="T174" s="734"/>
      <c r="U174" s="735"/>
    </row>
    <row r="175" spans="1:21" s="730" customFormat="1" ht="43.5">
      <c r="A175" s="727"/>
      <c r="B175" s="739"/>
      <c r="C175" s="1316" t="s">
        <v>823</v>
      </c>
      <c r="D175" s="661" t="s">
        <v>666</v>
      </c>
      <c r="E175" s="1485"/>
      <c r="F175" s="759" t="s">
        <v>287</v>
      </c>
      <c r="G175" s="673"/>
      <c r="H175" s="673"/>
      <c r="I175" s="673"/>
      <c r="J175" s="673"/>
      <c r="K175" s="687"/>
      <c r="L175" s="755"/>
      <c r="N175" s="731"/>
      <c r="O175" s="5"/>
      <c r="P175" s="732"/>
      <c r="Q175" s="733"/>
      <c r="R175" s="732"/>
      <c r="S175" s="733"/>
      <c r="T175" s="734"/>
      <c r="U175" s="735"/>
    </row>
    <row r="176" spans="1:21" s="730" customFormat="1">
      <c r="A176" s="727"/>
      <c r="B176" s="739"/>
      <c r="C176" s="1316" t="s">
        <v>824</v>
      </c>
      <c r="D176" s="661" t="s">
        <v>669</v>
      </c>
      <c r="E176" s="1485"/>
      <c r="F176" s="759" t="s">
        <v>287</v>
      </c>
      <c r="G176" s="673"/>
      <c r="H176" s="673"/>
      <c r="I176" s="673"/>
      <c r="J176" s="673"/>
      <c r="K176" s="687"/>
      <c r="L176" s="755"/>
      <c r="N176" s="731"/>
      <c r="O176" s="5"/>
      <c r="P176" s="732"/>
      <c r="Q176" s="733"/>
      <c r="R176" s="732"/>
      <c r="S176" s="733"/>
      <c r="T176" s="734"/>
      <c r="U176" s="735"/>
    </row>
    <row r="177" spans="1:21" s="730" customFormat="1">
      <c r="A177" s="727"/>
      <c r="B177" s="739"/>
      <c r="C177" s="738" t="s">
        <v>825</v>
      </c>
      <c r="D177" s="661" t="s">
        <v>671</v>
      </c>
      <c r="E177" s="1485"/>
      <c r="F177" s="759" t="s">
        <v>185</v>
      </c>
      <c r="G177" s="673"/>
      <c r="H177" s="673"/>
      <c r="I177" s="673"/>
      <c r="J177" s="673"/>
      <c r="K177" s="687"/>
      <c r="L177" s="755"/>
      <c r="N177" s="731"/>
      <c r="O177" s="5"/>
      <c r="P177" s="732"/>
      <c r="Q177" s="733"/>
      <c r="R177" s="732"/>
      <c r="S177" s="733"/>
      <c r="T177" s="734"/>
      <c r="U177" s="735"/>
    </row>
    <row r="178" spans="1:21" s="730" customFormat="1">
      <c r="A178" s="727"/>
      <c r="B178" s="739"/>
      <c r="C178" s="1316" t="s">
        <v>826</v>
      </c>
      <c r="D178" s="661" t="s">
        <v>673</v>
      </c>
      <c r="E178" s="1485"/>
      <c r="F178" s="759" t="s">
        <v>340</v>
      </c>
      <c r="G178" s="673"/>
      <c r="H178" s="673"/>
      <c r="I178" s="673"/>
      <c r="J178" s="673"/>
      <c r="K178" s="687"/>
      <c r="L178" s="755"/>
      <c r="N178" s="731"/>
      <c r="O178" s="5"/>
      <c r="P178" s="732"/>
      <c r="Q178" s="733"/>
      <c r="R178" s="732"/>
      <c r="S178" s="733"/>
      <c r="T178" s="734"/>
      <c r="U178" s="735"/>
    </row>
    <row r="179" spans="1:21" s="730" customFormat="1">
      <c r="A179" s="727"/>
      <c r="B179" s="739">
        <v>1.7</v>
      </c>
      <c r="C179" s="1316" t="s">
        <v>372</v>
      </c>
      <c r="D179" s="661"/>
      <c r="E179" s="1485"/>
      <c r="F179" s="759"/>
      <c r="G179" s="673"/>
      <c r="H179" s="673"/>
      <c r="I179" s="673"/>
      <c r="J179" s="673"/>
      <c r="K179" s="687"/>
      <c r="L179" s="755"/>
      <c r="N179" s="731"/>
      <c r="O179" s="5"/>
      <c r="P179" s="732"/>
      <c r="Q179" s="733"/>
      <c r="R179" s="732"/>
      <c r="S179" s="733"/>
      <c r="T179" s="734"/>
      <c r="U179" s="735"/>
    </row>
    <row r="180" spans="1:21" s="730" customFormat="1">
      <c r="A180" s="727"/>
      <c r="B180" s="739"/>
      <c r="C180" s="1316" t="s">
        <v>827</v>
      </c>
      <c r="D180" s="661" t="s">
        <v>384</v>
      </c>
      <c r="E180" s="1485"/>
      <c r="F180" s="759" t="s">
        <v>284</v>
      </c>
      <c r="G180" s="673"/>
      <c r="H180" s="673"/>
      <c r="I180" s="673"/>
      <c r="J180" s="673"/>
      <c r="K180" s="687"/>
      <c r="L180" s="755"/>
      <c r="N180" s="731"/>
      <c r="O180" s="5"/>
      <c r="P180" s="732"/>
      <c r="Q180" s="733"/>
      <c r="R180" s="732"/>
      <c r="S180" s="733"/>
      <c r="T180" s="734"/>
      <c r="U180" s="735"/>
    </row>
    <row r="181" spans="1:21" s="730" customFormat="1">
      <c r="A181" s="727"/>
      <c r="B181" s="739"/>
      <c r="C181" s="1316" t="s">
        <v>828</v>
      </c>
      <c r="D181" s="661" t="s">
        <v>386</v>
      </c>
      <c r="E181" s="1485"/>
      <c r="F181" s="759" t="s">
        <v>284</v>
      </c>
      <c r="G181" s="673"/>
      <c r="H181" s="673"/>
      <c r="I181" s="673"/>
      <c r="J181" s="673"/>
      <c r="K181" s="687"/>
      <c r="L181" s="755"/>
      <c r="N181" s="731"/>
      <c r="O181" s="5"/>
      <c r="P181" s="732"/>
      <c r="Q181" s="733"/>
      <c r="R181" s="732"/>
      <c r="S181" s="733"/>
      <c r="T181" s="734"/>
      <c r="U181" s="735"/>
    </row>
    <row r="182" spans="1:21" s="730" customFormat="1">
      <c r="A182" s="727"/>
      <c r="B182" s="739"/>
      <c r="C182" s="736" t="s">
        <v>829</v>
      </c>
      <c r="D182" s="661" t="s">
        <v>304</v>
      </c>
      <c r="E182" s="1485"/>
      <c r="F182" s="759"/>
      <c r="G182" s="673"/>
      <c r="H182" s="673"/>
      <c r="I182" s="673"/>
      <c r="J182" s="673"/>
      <c r="K182" s="687"/>
      <c r="L182" s="755"/>
      <c r="N182" s="731"/>
      <c r="O182" s="5"/>
      <c r="P182" s="732"/>
      <c r="Q182" s="733"/>
      <c r="R182" s="732"/>
      <c r="S182" s="733"/>
      <c r="T182" s="734"/>
      <c r="U182" s="735"/>
    </row>
    <row r="183" spans="1:21" s="730" customFormat="1">
      <c r="A183" s="727"/>
      <c r="B183" s="739"/>
      <c r="C183" s="738" t="s">
        <v>282</v>
      </c>
      <c r="D183" s="661" t="s">
        <v>388</v>
      </c>
      <c r="E183" s="1485"/>
      <c r="F183" s="759" t="s">
        <v>104</v>
      </c>
      <c r="G183" s="673"/>
      <c r="H183" s="673"/>
      <c r="I183" s="673"/>
      <c r="J183" s="673"/>
      <c r="K183" s="687"/>
      <c r="L183" s="755"/>
      <c r="N183" s="731"/>
      <c r="O183" s="5"/>
      <c r="P183" s="732"/>
      <c r="Q183" s="733"/>
      <c r="R183" s="732"/>
      <c r="S183" s="733"/>
      <c r="T183" s="734"/>
      <c r="U183" s="735"/>
    </row>
    <row r="184" spans="1:21" s="730" customFormat="1">
      <c r="A184" s="727"/>
      <c r="B184" s="739"/>
      <c r="C184" s="736" t="s">
        <v>830</v>
      </c>
      <c r="D184" s="661" t="s">
        <v>673</v>
      </c>
      <c r="E184" s="1485"/>
      <c r="F184" s="759" t="s">
        <v>340</v>
      </c>
      <c r="G184" s="673"/>
      <c r="H184" s="673"/>
      <c r="I184" s="673"/>
      <c r="J184" s="673"/>
      <c r="K184" s="687"/>
      <c r="L184" s="755"/>
      <c r="N184" s="731"/>
      <c r="O184" s="5"/>
      <c r="P184" s="732"/>
      <c r="Q184" s="733"/>
      <c r="R184" s="732"/>
      <c r="S184" s="733"/>
      <c r="T184" s="734"/>
      <c r="U184" s="735"/>
    </row>
    <row r="185" spans="1:21" s="730" customFormat="1">
      <c r="A185" s="727"/>
      <c r="B185" s="739">
        <v>1.8</v>
      </c>
      <c r="C185" s="736" t="s">
        <v>393</v>
      </c>
      <c r="D185" s="661"/>
      <c r="E185" s="1485"/>
      <c r="F185" s="759"/>
      <c r="G185" s="673"/>
      <c r="H185" s="673"/>
      <c r="I185" s="673"/>
      <c r="J185" s="673"/>
      <c r="K185" s="687"/>
      <c r="L185" s="755"/>
      <c r="N185" s="731"/>
      <c r="O185" s="5"/>
      <c r="P185" s="732"/>
      <c r="Q185" s="733"/>
      <c r="R185" s="732"/>
      <c r="S185" s="733"/>
      <c r="T185" s="734"/>
      <c r="U185" s="735"/>
    </row>
    <row r="186" spans="1:21" s="730" customFormat="1" ht="43.5">
      <c r="A186" s="727"/>
      <c r="B186" s="739"/>
      <c r="C186" s="736" t="s">
        <v>831</v>
      </c>
      <c r="D186" s="661" t="s">
        <v>681</v>
      </c>
      <c r="E186" s="1485"/>
      <c r="F186" s="759" t="s">
        <v>284</v>
      </c>
      <c r="G186" s="673"/>
      <c r="H186" s="673"/>
      <c r="I186" s="673"/>
      <c r="J186" s="673"/>
      <c r="K186" s="687"/>
      <c r="L186" s="755"/>
      <c r="N186" s="731"/>
      <c r="O186" s="5"/>
      <c r="P186" s="732"/>
      <c r="Q186" s="733"/>
      <c r="R186" s="732"/>
      <c r="S186" s="733"/>
      <c r="T186" s="734"/>
      <c r="U186" s="735"/>
    </row>
    <row r="187" spans="1:21" s="730" customFormat="1">
      <c r="A187" s="727"/>
      <c r="B187" s="739"/>
      <c r="C187" s="736" t="s">
        <v>832</v>
      </c>
      <c r="D187" s="661" t="s">
        <v>397</v>
      </c>
      <c r="E187" s="1485"/>
      <c r="F187" s="759" t="s">
        <v>284</v>
      </c>
      <c r="G187" s="673"/>
      <c r="H187" s="673"/>
      <c r="I187" s="673"/>
      <c r="J187" s="673"/>
      <c r="K187" s="687"/>
      <c r="L187" s="755"/>
      <c r="N187" s="731"/>
      <c r="O187" s="5"/>
      <c r="P187" s="732"/>
      <c r="Q187" s="733"/>
      <c r="R187" s="732"/>
      <c r="S187" s="733"/>
      <c r="T187" s="734"/>
      <c r="U187" s="735"/>
    </row>
    <row r="188" spans="1:21" s="730" customFormat="1">
      <c r="A188" s="727"/>
      <c r="B188" s="739"/>
      <c r="C188" s="736" t="s">
        <v>833</v>
      </c>
      <c r="D188" s="661" t="s">
        <v>399</v>
      </c>
      <c r="E188" s="1485"/>
      <c r="F188" s="759"/>
      <c r="G188" s="673"/>
      <c r="H188" s="673"/>
      <c r="I188" s="673"/>
      <c r="J188" s="673"/>
      <c r="K188" s="687"/>
      <c r="L188" s="755"/>
      <c r="N188" s="731"/>
      <c r="O188" s="5"/>
      <c r="P188" s="732"/>
      <c r="Q188" s="733"/>
      <c r="R188" s="732"/>
      <c r="S188" s="733"/>
      <c r="T188" s="734"/>
      <c r="U188" s="735"/>
    </row>
    <row r="189" spans="1:21" s="730" customFormat="1">
      <c r="A189" s="727"/>
      <c r="B189" s="739"/>
      <c r="C189" s="736" t="s">
        <v>282</v>
      </c>
      <c r="D189" s="661" t="s">
        <v>400</v>
      </c>
      <c r="E189" s="1485"/>
      <c r="F189" s="759" t="s">
        <v>284</v>
      </c>
      <c r="G189" s="673"/>
      <c r="H189" s="673"/>
      <c r="I189" s="673"/>
      <c r="J189" s="673"/>
      <c r="K189" s="687"/>
      <c r="L189" s="755"/>
      <c r="N189" s="731"/>
      <c r="O189" s="5"/>
      <c r="P189" s="732"/>
      <c r="Q189" s="733"/>
      <c r="R189" s="732"/>
      <c r="S189" s="733"/>
      <c r="T189" s="734"/>
      <c r="U189" s="735"/>
    </row>
    <row r="190" spans="1:21" s="730" customFormat="1">
      <c r="A190" s="727"/>
      <c r="B190" s="739"/>
      <c r="C190" s="736" t="s">
        <v>834</v>
      </c>
      <c r="D190" s="661" t="s">
        <v>404</v>
      </c>
      <c r="E190" s="1485"/>
      <c r="F190" s="759" t="s">
        <v>284</v>
      </c>
      <c r="G190" s="673"/>
      <c r="H190" s="673"/>
      <c r="I190" s="673"/>
      <c r="J190" s="673"/>
      <c r="K190" s="687"/>
      <c r="L190" s="755"/>
      <c r="N190" s="731"/>
      <c r="O190" s="5"/>
      <c r="P190" s="732"/>
      <c r="Q190" s="733"/>
      <c r="R190" s="732"/>
      <c r="S190" s="733"/>
      <c r="T190" s="734"/>
      <c r="U190" s="735"/>
    </row>
    <row r="191" spans="1:21" s="730" customFormat="1">
      <c r="A191" s="727"/>
      <c r="B191" s="739"/>
      <c r="C191" s="736" t="s">
        <v>835</v>
      </c>
      <c r="D191" s="661" t="s">
        <v>406</v>
      </c>
      <c r="E191" s="1485"/>
      <c r="F191" s="759" t="s">
        <v>284</v>
      </c>
      <c r="G191" s="673"/>
      <c r="H191" s="673"/>
      <c r="I191" s="673"/>
      <c r="J191" s="673"/>
      <c r="K191" s="687"/>
      <c r="L191" s="755"/>
      <c r="N191" s="731"/>
      <c r="O191" s="5"/>
      <c r="P191" s="732"/>
      <c r="Q191" s="733"/>
      <c r="R191" s="732"/>
      <c r="S191" s="733"/>
      <c r="T191" s="734"/>
      <c r="U191" s="735"/>
    </row>
    <row r="192" spans="1:21" s="730" customFormat="1">
      <c r="A192" s="727"/>
      <c r="B192" s="739"/>
      <c r="C192" s="736" t="s">
        <v>836</v>
      </c>
      <c r="D192" s="661" t="s">
        <v>408</v>
      </c>
      <c r="E192" s="1485"/>
      <c r="F192" s="759"/>
      <c r="G192" s="673"/>
      <c r="H192" s="673"/>
      <c r="I192" s="673"/>
      <c r="J192" s="673"/>
      <c r="K192" s="687"/>
      <c r="L192" s="755"/>
      <c r="N192" s="731"/>
      <c r="O192" s="5"/>
      <c r="P192" s="732"/>
      <c r="Q192" s="733"/>
      <c r="R192" s="732"/>
      <c r="S192" s="733"/>
      <c r="T192" s="734"/>
      <c r="U192" s="735"/>
    </row>
    <row r="193" spans="1:21" s="730" customFormat="1">
      <c r="A193" s="727"/>
      <c r="B193" s="739"/>
      <c r="C193" s="736" t="s">
        <v>282</v>
      </c>
      <c r="D193" s="661" t="s">
        <v>409</v>
      </c>
      <c r="E193" s="1485"/>
      <c r="F193" s="759" t="s">
        <v>284</v>
      </c>
      <c r="G193" s="673"/>
      <c r="H193" s="673"/>
      <c r="I193" s="673"/>
      <c r="J193" s="673"/>
      <c r="K193" s="687"/>
      <c r="L193" s="755"/>
      <c r="N193" s="731"/>
      <c r="O193" s="5"/>
      <c r="P193" s="732"/>
      <c r="Q193" s="733"/>
      <c r="R193" s="732"/>
      <c r="S193" s="733"/>
      <c r="T193" s="734"/>
      <c r="U193" s="735"/>
    </row>
    <row r="194" spans="1:21" s="730" customFormat="1">
      <c r="A194" s="727"/>
      <c r="B194" s="739"/>
      <c r="C194" s="736" t="s">
        <v>837</v>
      </c>
      <c r="D194" s="661" t="s">
        <v>304</v>
      </c>
      <c r="E194" s="1485"/>
      <c r="F194" s="759"/>
      <c r="G194" s="673"/>
      <c r="H194" s="673"/>
      <c r="I194" s="673"/>
      <c r="J194" s="673"/>
      <c r="K194" s="687"/>
      <c r="L194" s="755"/>
      <c r="N194" s="731"/>
      <c r="O194" s="5"/>
      <c r="P194" s="732"/>
      <c r="Q194" s="733"/>
      <c r="R194" s="732"/>
      <c r="S194" s="733"/>
      <c r="T194" s="734"/>
      <c r="U194" s="735"/>
    </row>
    <row r="195" spans="1:21" s="730" customFormat="1">
      <c r="A195" s="727"/>
      <c r="B195" s="739"/>
      <c r="C195" s="738" t="s">
        <v>282</v>
      </c>
      <c r="D195" s="661" t="s">
        <v>688</v>
      </c>
      <c r="E195" s="1485"/>
      <c r="F195" s="759" t="s">
        <v>104</v>
      </c>
      <c r="G195" s="673"/>
      <c r="H195" s="673"/>
      <c r="I195" s="673"/>
      <c r="J195" s="673"/>
      <c r="K195" s="687"/>
      <c r="L195" s="755"/>
      <c r="N195" s="731"/>
      <c r="O195" s="5"/>
      <c r="P195" s="732"/>
      <c r="Q195" s="733"/>
      <c r="R195" s="732"/>
      <c r="S195" s="733"/>
      <c r="T195" s="734"/>
      <c r="U195" s="735"/>
    </row>
    <row r="196" spans="1:21" s="730" customFormat="1">
      <c r="A196" s="727"/>
      <c r="B196" s="739"/>
      <c r="C196" s="736" t="s">
        <v>413</v>
      </c>
      <c r="D196" s="661" t="s">
        <v>339</v>
      </c>
      <c r="E196" s="1485"/>
      <c r="F196" s="759" t="s">
        <v>340</v>
      </c>
      <c r="G196" s="673"/>
      <c r="H196" s="673"/>
      <c r="I196" s="673"/>
      <c r="J196" s="673"/>
      <c r="K196" s="687"/>
      <c r="L196" s="755"/>
      <c r="N196" s="731"/>
      <c r="O196" s="5"/>
      <c r="P196" s="732"/>
      <c r="Q196" s="733"/>
      <c r="R196" s="732"/>
      <c r="S196" s="733"/>
      <c r="T196" s="734"/>
      <c r="U196" s="735"/>
    </row>
    <row r="197" spans="1:21" s="730" customFormat="1">
      <c r="A197" s="727"/>
      <c r="B197" s="739">
        <v>3.9</v>
      </c>
      <c r="C197" s="736" t="s">
        <v>414</v>
      </c>
      <c r="D197" s="661"/>
      <c r="E197" s="1485"/>
      <c r="F197" s="759"/>
      <c r="G197" s="673"/>
      <c r="H197" s="673"/>
      <c r="I197" s="673"/>
      <c r="J197" s="673"/>
      <c r="K197" s="687"/>
      <c r="L197" s="755"/>
      <c r="N197" s="731"/>
      <c r="O197" s="5"/>
      <c r="P197" s="732"/>
      <c r="Q197" s="733"/>
      <c r="R197" s="732"/>
      <c r="S197" s="733"/>
      <c r="T197" s="734"/>
      <c r="U197" s="735"/>
    </row>
    <row r="198" spans="1:21" s="730" customFormat="1" ht="43.5">
      <c r="A198" s="727"/>
      <c r="B198" s="739"/>
      <c r="C198" s="736" t="s">
        <v>415</v>
      </c>
      <c r="D198" s="661" t="s">
        <v>416</v>
      </c>
      <c r="E198" s="1485"/>
      <c r="F198" s="759" t="s">
        <v>284</v>
      </c>
      <c r="G198" s="673"/>
      <c r="H198" s="673"/>
      <c r="I198" s="673"/>
      <c r="J198" s="673"/>
      <c r="K198" s="687"/>
      <c r="L198" s="755"/>
      <c r="N198" s="731"/>
      <c r="O198" s="5"/>
      <c r="P198" s="732"/>
      <c r="Q198" s="733"/>
      <c r="R198" s="732"/>
      <c r="S198" s="733"/>
      <c r="T198" s="734"/>
      <c r="U198" s="735"/>
    </row>
    <row r="199" spans="1:21" s="730" customFormat="1">
      <c r="A199" s="727"/>
      <c r="B199" s="739"/>
      <c r="C199" s="736" t="s">
        <v>417</v>
      </c>
      <c r="D199" s="661" t="s">
        <v>418</v>
      </c>
      <c r="E199" s="1485"/>
      <c r="F199" s="759" t="s">
        <v>287</v>
      </c>
      <c r="G199" s="673"/>
      <c r="H199" s="673"/>
      <c r="I199" s="673"/>
      <c r="J199" s="673"/>
      <c r="K199" s="687"/>
      <c r="L199" s="755"/>
      <c r="N199" s="731"/>
      <c r="O199" s="5"/>
      <c r="P199" s="732"/>
      <c r="Q199" s="733"/>
      <c r="R199" s="732"/>
      <c r="S199" s="733"/>
      <c r="T199" s="734"/>
      <c r="U199" s="735"/>
    </row>
    <row r="200" spans="1:21" s="730" customFormat="1">
      <c r="A200" s="727"/>
      <c r="B200" s="739"/>
      <c r="C200" s="736" t="s">
        <v>419</v>
      </c>
      <c r="D200" s="661" t="s">
        <v>420</v>
      </c>
      <c r="E200" s="1485"/>
      <c r="F200" s="759" t="s">
        <v>287</v>
      </c>
      <c r="G200" s="673"/>
      <c r="H200" s="673"/>
      <c r="I200" s="673"/>
      <c r="J200" s="673"/>
      <c r="K200" s="687"/>
      <c r="L200" s="755"/>
      <c r="N200" s="731"/>
      <c r="O200" s="5"/>
      <c r="P200" s="732"/>
      <c r="Q200" s="733"/>
      <c r="R200" s="732"/>
      <c r="S200" s="733"/>
      <c r="T200" s="734"/>
      <c r="U200" s="735"/>
    </row>
    <row r="201" spans="1:21" s="730" customFormat="1">
      <c r="A201" s="727"/>
      <c r="B201" s="739"/>
      <c r="C201" s="736" t="s">
        <v>421</v>
      </c>
      <c r="D201" s="661" t="s">
        <v>304</v>
      </c>
      <c r="E201" s="1485"/>
      <c r="F201" s="759"/>
      <c r="G201" s="673"/>
      <c r="H201" s="673"/>
      <c r="I201" s="673"/>
      <c r="J201" s="673"/>
      <c r="K201" s="687"/>
      <c r="L201" s="755"/>
      <c r="N201" s="731"/>
      <c r="O201" s="5"/>
      <c r="P201" s="732"/>
      <c r="Q201" s="733"/>
      <c r="R201" s="732"/>
      <c r="S201" s="733"/>
      <c r="T201" s="734"/>
      <c r="U201" s="735"/>
    </row>
    <row r="202" spans="1:21" s="730" customFormat="1">
      <c r="A202" s="727"/>
      <c r="B202" s="739"/>
      <c r="C202" s="736" t="s">
        <v>282</v>
      </c>
      <c r="D202" s="661" t="s">
        <v>422</v>
      </c>
      <c r="E202" s="1485"/>
      <c r="F202" s="759" t="s">
        <v>104</v>
      </c>
      <c r="G202" s="673"/>
      <c r="H202" s="673"/>
      <c r="I202" s="673"/>
      <c r="J202" s="673"/>
      <c r="K202" s="687"/>
      <c r="L202" s="755"/>
      <c r="N202" s="731"/>
      <c r="O202" s="5"/>
      <c r="P202" s="732"/>
      <c r="Q202" s="733"/>
      <c r="R202" s="732"/>
      <c r="S202" s="733"/>
      <c r="T202" s="734"/>
      <c r="U202" s="735"/>
    </row>
    <row r="203" spans="1:21" s="730" customFormat="1">
      <c r="A203" s="727"/>
      <c r="B203" s="739"/>
      <c r="C203" s="736" t="s">
        <v>282</v>
      </c>
      <c r="D203" s="661" t="s">
        <v>423</v>
      </c>
      <c r="E203" s="1485"/>
      <c r="F203" s="759"/>
      <c r="G203" s="673"/>
      <c r="H203" s="673"/>
      <c r="I203" s="673"/>
      <c r="J203" s="673"/>
      <c r="K203" s="687"/>
      <c r="L203" s="755"/>
      <c r="N203" s="731"/>
      <c r="O203" s="5"/>
      <c r="P203" s="732"/>
      <c r="Q203" s="733"/>
      <c r="R203" s="732"/>
      <c r="S203" s="733"/>
      <c r="T203" s="734"/>
      <c r="U203" s="735"/>
    </row>
    <row r="204" spans="1:21" s="730" customFormat="1">
      <c r="A204" s="727"/>
      <c r="B204" s="739"/>
      <c r="C204" s="738" t="s">
        <v>425</v>
      </c>
      <c r="D204" s="661" t="s">
        <v>339</v>
      </c>
      <c r="E204" s="1485"/>
      <c r="F204" s="759" t="s">
        <v>340</v>
      </c>
      <c r="G204" s="673"/>
      <c r="H204" s="673"/>
      <c r="I204" s="673"/>
      <c r="J204" s="673"/>
      <c r="K204" s="687"/>
      <c r="L204" s="755"/>
      <c r="N204" s="731"/>
      <c r="O204" s="5"/>
      <c r="P204" s="732"/>
      <c r="Q204" s="733"/>
      <c r="R204" s="732"/>
      <c r="S204" s="733"/>
      <c r="T204" s="734"/>
      <c r="U204" s="735"/>
    </row>
    <row r="205" spans="1:21" s="730" customFormat="1">
      <c r="A205" s="727"/>
      <c r="B205" s="739"/>
      <c r="C205" s="738"/>
      <c r="D205" s="661"/>
      <c r="E205" s="1485"/>
      <c r="F205" s="759"/>
      <c r="G205" s="673"/>
      <c r="H205" s="673"/>
      <c r="I205" s="673"/>
      <c r="J205" s="673"/>
      <c r="K205" s="687"/>
      <c r="L205" s="755"/>
      <c r="N205" s="731"/>
      <c r="O205" s="5"/>
      <c r="P205" s="732"/>
      <c r="Q205" s="733"/>
      <c r="R205" s="732"/>
      <c r="S205" s="733"/>
      <c r="T205" s="734"/>
      <c r="U205" s="735"/>
    </row>
    <row r="206" spans="1:21" s="730" customFormat="1">
      <c r="A206" s="727"/>
      <c r="B206" s="739" t="s">
        <v>426</v>
      </c>
      <c r="C206" s="1316"/>
      <c r="D206" s="661"/>
      <c r="E206" s="1485"/>
      <c r="F206" s="759"/>
      <c r="G206" s="673"/>
      <c r="H206" s="673"/>
      <c r="I206" s="673"/>
      <c r="J206" s="673"/>
      <c r="K206" s="687"/>
      <c r="L206" s="755"/>
      <c r="N206" s="731"/>
      <c r="O206" s="5"/>
      <c r="P206" s="732"/>
      <c r="Q206" s="733"/>
      <c r="R206" s="732"/>
      <c r="S206" s="733"/>
      <c r="T206" s="734"/>
      <c r="U206" s="735"/>
    </row>
    <row r="207" spans="1:21" s="730" customFormat="1">
      <c r="A207" s="727"/>
      <c r="B207" s="739">
        <v>4.0999999999999996</v>
      </c>
      <c r="C207" s="1316" t="s">
        <v>427</v>
      </c>
      <c r="D207" s="661"/>
      <c r="E207" s="1485"/>
      <c r="F207" s="759"/>
      <c r="G207" s="673"/>
      <c r="H207" s="673"/>
      <c r="I207" s="673"/>
      <c r="J207" s="673"/>
      <c r="K207" s="687"/>
      <c r="L207" s="755"/>
      <c r="N207" s="731"/>
      <c r="O207" s="5"/>
      <c r="P207" s="732"/>
      <c r="Q207" s="733"/>
      <c r="R207" s="732"/>
      <c r="S207" s="733"/>
      <c r="T207" s="734"/>
      <c r="U207" s="735"/>
    </row>
    <row r="208" spans="1:21" s="730" customFormat="1">
      <c r="A208" s="727"/>
      <c r="B208" s="739"/>
      <c r="C208" s="736" t="s">
        <v>428</v>
      </c>
      <c r="D208" s="730" t="s">
        <v>838</v>
      </c>
      <c r="E208" s="1485"/>
      <c r="F208" s="759" t="s">
        <v>284</v>
      </c>
      <c r="G208" s="673" t="s">
        <v>640</v>
      </c>
      <c r="H208" s="673"/>
      <c r="I208" s="673"/>
      <c r="J208" s="673"/>
      <c r="K208" s="687"/>
      <c r="L208" s="755"/>
      <c r="N208" s="731"/>
      <c r="O208" s="5"/>
      <c r="P208" s="732"/>
      <c r="Q208" s="733"/>
      <c r="R208" s="732"/>
      <c r="S208" s="733"/>
      <c r="T208" s="734"/>
      <c r="U208" s="735"/>
    </row>
    <row r="209" spans="1:21" s="730" customFormat="1">
      <c r="A209" s="727"/>
      <c r="B209" s="739"/>
      <c r="C209" s="736" t="s">
        <v>431</v>
      </c>
      <c r="D209" s="661" t="s">
        <v>696</v>
      </c>
      <c r="E209" s="1485"/>
      <c r="F209" s="759" t="s">
        <v>340</v>
      </c>
      <c r="G209" s="673"/>
      <c r="H209" s="673"/>
      <c r="I209" s="673"/>
      <c r="J209" s="673"/>
      <c r="K209" s="687"/>
      <c r="L209" s="755"/>
      <c r="N209" s="731"/>
      <c r="O209" s="5"/>
      <c r="P209" s="732"/>
      <c r="Q209" s="733"/>
      <c r="R209" s="732"/>
      <c r="S209" s="733"/>
      <c r="T209" s="734"/>
      <c r="U209" s="735"/>
    </row>
    <row r="210" spans="1:21" s="730" customFormat="1">
      <c r="A210" s="727"/>
      <c r="B210" s="775"/>
      <c r="C210" s="736" t="s">
        <v>701</v>
      </c>
      <c r="D210" s="728" t="s">
        <v>432</v>
      </c>
      <c r="E210" s="1485"/>
      <c r="F210" s="759"/>
      <c r="G210" s="673"/>
      <c r="H210" s="673"/>
      <c r="I210" s="673"/>
      <c r="J210" s="673"/>
      <c r="K210" s="687"/>
      <c r="L210" s="755"/>
      <c r="N210" s="731"/>
      <c r="O210" s="5"/>
      <c r="P210" s="732"/>
      <c r="Q210" s="733"/>
      <c r="R210" s="732"/>
      <c r="S210" s="733"/>
      <c r="T210" s="734"/>
      <c r="U210" s="735"/>
    </row>
    <row r="211" spans="1:21" s="13" customFormat="1" ht="24">
      <c r="A211" s="923"/>
      <c r="B211" s="644"/>
      <c r="C211" s="736" t="s">
        <v>282</v>
      </c>
      <c r="D211" s="616" t="s">
        <v>697</v>
      </c>
      <c r="E211" s="1486"/>
      <c r="F211" s="925" t="s">
        <v>284</v>
      </c>
      <c r="G211" s="926"/>
      <c r="H211" s="673"/>
      <c r="I211" s="926"/>
      <c r="J211" s="673"/>
      <c r="K211" s="687"/>
      <c r="L211" s="755"/>
      <c r="N211" s="14"/>
      <c r="O211" s="15"/>
      <c r="P211" s="20"/>
      <c r="Q211" s="17"/>
      <c r="R211" s="20"/>
      <c r="S211" s="16"/>
      <c r="T211" s="927"/>
    </row>
    <row r="212" spans="1:21" s="13" customFormat="1" ht="23.25">
      <c r="A212" s="915"/>
      <c r="B212" s="922"/>
      <c r="C212" s="738"/>
      <c r="D212" s="614"/>
      <c r="E212" s="1487"/>
      <c r="F212" s="916"/>
      <c r="G212" s="917"/>
      <c r="H212" s="918"/>
      <c r="I212" s="917"/>
      <c r="J212" s="919"/>
      <c r="K212" s="920"/>
      <c r="L212" s="921"/>
      <c r="N212" s="14"/>
      <c r="O212" s="15"/>
      <c r="P212" s="20"/>
      <c r="Q212" s="17"/>
      <c r="R212" s="20"/>
      <c r="S212" s="16"/>
      <c r="T212" s="18"/>
    </row>
    <row r="213" spans="1:21" ht="23.25">
      <c r="A213" s="659">
        <v>4</v>
      </c>
      <c r="B213" s="645" t="s">
        <v>698</v>
      </c>
      <c r="C213" s="1328"/>
      <c r="D213" s="647"/>
      <c r="E213" s="1483"/>
      <c r="F213" s="648"/>
      <c r="G213" s="649"/>
      <c r="H213" s="650"/>
      <c r="I213" s="649"/>
      <c r="J213" s="651"/>
      <c r="K213" s="685"/>
      <c r="L213" s="753"/>
      <c r="N213" s="14"/>
      <c r="O213" s="15"/>
      <c r="P213" s="20"/>
      <c r="Q213" s="17"/>
      <c r="R213" s="20"/>
      <c r="S213" s="16"/>
      <c r="T213" s="18"/>
      <c r="U213" s="13"/>
    </row>
    <row r="214" spans="1:21" s="783" customFormat="1">
      <c r="A214" s="781">
        <v>4.0999999999999996</v>
      </c>
      <c r="B214" s="931" t="s">
        <v>452</v>
      </c>
      <c r="C214" s="1339"/>
      <c r="D214" s="782"/>
      <c r="E214" s="1485"/>
      <c r="F214" s="759"/>
      <c r="G214" s="673"/>
      <c r="H214" s="673"/>
      <c r="I214" s="673"/>
      <c r="J214" s="673"/>
      <c r="K214" s="687"/>
      <c r="L214" s="755"/>
      <c r="N214" s="731"/>
      <c r="O214" s="785"/>
      <c r="P214" s="733"/>
      <c r="Q214" s="733"/>
      <c r="R214" s="733"/>
      <c r="S214" s="733"/>
      <c r="T214" s="786"/>
      <c r="U214" s="787"/>
    </row>
    <row r="215" spans="1:21" s="783" customFormat="1">
      <c r="A215" s="781"/>
      <c r="B215" s="788"/>
      <c r="C215" s="1333" t="s">
        <v>428</v>
      </c>
      <c r="D215" s="790" t="s">
        <v>699</v>
      </c>
      <c r="E215" s="1485"/>
      <c r="F215" s="759" t="s">
        <v>87</v>
      </c>
      <c r="G215" s="673"/>
      <c r="H215" s="673"/>
      <c r="I215" s="673"/>
      <c r="J215" s="673"/>
      <c r="K215" s="687"/>
      <c r="L215" s="755"/>
      <c r="N215" s="731"/>
      <c r="O215" s="785"/>
      <c r="P215" s="733"/>
      <c r="Q215" s="733"/>
      <c r="R215" s="733"/>
      <c r="S215" s="733"/>
      <c r="T215" s="786"/>
      <c r="U215" s="787"/>
    </row>
    <row r="216" spans="1:21" s="783" customFormat="1">
      <c r="A216" s="781"/>
      <c r="B216" s="788"/>
      <c r="C216" s="1333" t="s">
        <v>431</v>
      </c>
      <c r="D216" s="790" t="s">
        <v>839</v>
      </c>
      <c r="E216" s="1485"/>
      <c r="F216" s="759" t="s">
        <v>87</v>
      </c>
      <c r="G216" s="673"/>
      <c r="H216" s="673"/>
      <c r="I216" s="673"/>
      <c r="J216" s="673"/>
      <c r="K216" s="687"/>
      <c r="L216" s="755"/>
      <c r="N216" s="731"/>
      <c r="O216" s="785"/>
      <c r="P216" s="733"/>
      <c r="Q216" s="733"/>
      <c r="R216" s="733"/>
      <c r="S216" s="733"/>
      <c r="T216" s="786"/>
      <c r="U216" s="787"/>
    </row>
    <row r="217" spans="1:21" s="783" customFormat="1">
      <c r="A217" s="781"/>
      <c r="B217" s="788"/>
      <c r="C217" s="1333" t="s">
        <v>701</v>
      </c>
      <c r="D217" s="790" t="s">
        <v>702</v>
      </c>
      <c r="E217" s="1485"/>
      <c r="F217" s="759" t="s">
        <v>87</v>
      </c>
      <c r="G217" s="673"/>
      <c r="H217" s="673"/>
      <c r="I217" s="673"/>
      <c r="J217" s="673"/>
      <c r="K217" s="687"/>
      <c r="L217" s="755"/>
      <c r="N217" s="731"/>
      <c r="O217" s="785"/>
      <c r="P217" s="733"/>
      <c r="Q217" s="733"/>
      <c r="R217" s="733"/>
      <c r="S217" s="733"/>
      <c r="T217" s="786"/>
      <c r="U217" s="787"/>
    </row>
    <row r="218" spans="1:21" s="783" customFormat="1">
      <c r="A218" s="781"/>
      <c r="B218" s="788"/>
      <c r="C218" s="1333" t="s">
        <v>703</v>
      </c>
      <c r="D218" s="790" t="s">
        <v>704</v>
      </c>
      <c r="E218" s="1485"/>
      <c r="F218" s="759" t="s">
        <v>87</v>
      </c>
      <c r="G218" s="673"/>
      <c r="H218" s="673"/>
      <c r="I218" s="673"/>
      <c r="J218" s="673"/>
      <c r="K218" s="687"/>
      <c r="L218" s="755"/>
      <c r="N218" s="731"/>
      <c r="O218" s="785"/>
      <c r="P218" s="733"/>
      <c r="Q218" s="733"/>
      <c r="R218" s="733"/>
      <c r="S218" s="733"/>
      <c r="T218" s="786"/>
      <c r="U218" s="787"/>
    </row>
    <row r="219" spans="1:21" s="783" customFormat="1">
      <c r="A219" s="781"/>
      <c r="B219" s="788"/>
      <c r="C219" s="1333" t="s">
        <v>705</v>
      </c>
      <c r="D219" s="790" t="s">
        <v>840</v>
      </c>
      <c r="E219" s="1485"/>
      <c r="F219" s="759" t="s">
        <v>87</v>
      </c>
      <c r="G219" s="673"/>
      <c r="H219" s="673"/>
      <c r="I219" s="673"/>
      <c r="J219" s="673"/>
      <c r="K219" s="687"/>
      <c r="L219" s="755"/>
      <c r="N219" s="731"/>
      <c r="O219" s="785"/>
      <c r="P219" s="733"/>
      <c r="Q219" s="733"/>
      <c r="R219" s="733"/>
      <c r="S219" s="733"/>
      <c r="T219" s="786"/>
      <c r="U219" s="787"/>
    </row>
    <row r="220" spans="1:21" s="783" customFormat="1">
      <c r="A220" s="781"/>
      <c r="B220" s="788"/>
      <c r="C220" s="1333" t="s">
        <v>707</v>
      </c>
      <c r="D220" s="790" t="s">
        <v>708</v>
      </c>
      <c r="E220" s="1485"/>
      <c r="F220" s="759" t="s">
        <v>87</v>
      </c>
      <c r="G220" s="673"/>
      <c r="H220" s="673"/>
      <c r="I220" s="673"/>
      <c r="J220" s="673"/>
      <c r="K220" s="687"/>
      <c r="L220" s="755"/>
      <c r="N220" s="731"/>
      <c r="O220" s="785"/>
      <c r="P220" s="733"/>
      <c r="Q220" s="733"/>
      <c r="R220" s="733"/>
      <c r="S220" s="733"/>
      <c r="T220" s="786"/>
      <c r="U220" s="787"/>
    </row>
    <row r="221" spans="1:21" s="783" customFormat="1">
      <c r="A221" s="781"/>
      <c r="B221" s="788"/>
      <c r="C221" s="1333" t="s">
        <v>709</v>
      </c>
      <c r="D221" s="790" t="s">
        <v>710</v>
      </c>
      <c r="E221" s="1485"/>
      <c r="F221" s="759" t="s">
        <v>87</v>
      </c>
      <c r="G221" s="673"/>
      <c r="H221" s="673"/>
      <c r="I221" s="673"/>
      <c r="J221" s="673"/>
      <c r="K221" s="687"/>
      <c r="L221" s="755"/>
      <c r="N221" s="731"/>
      <c r="O221" s="785"/>
      <c r="P221" s="733"/>
      <c r="Q221" s="733"/>
      <c r="R221" s="733"/>
      <c r="S221" s="733"/>
      <c r="T221" s="786"/>
      <c r="U221" s="787"/>
    </row>
    <row r="222" spans="1:21" s="783" customFormat="1">
      <c r="A222" s="781"/>
      <c r="B222" s="788"/>
      <c r="C222" s="1333" t="s">
        <v>711</v>
      </c>
      <c r="D222" s="790" t="s">
        <v>712</v>
      </c>
      <c r="E222" s="1485"/>
      <c r="F222" s="759" t="s">
        <v>87</v>
      </c>
      <c r="G222" s="673"/>
      <c r="H222" s="673"/>
      <c r="I222" s="673"/>
      <c r="J222" s="673"/>
      <c r="K222" s="687"/>
      <c r="L222" s="755"/>
      <c r="N222" s="731"/>
      <c r="O222" s="785"/>
      <c r="P222" s="733"/>
      <c r="Q222" s="733"/>
      <c r="R222" s="733"/>
      <c r="S222" s="733"/>
      <c r="T222" s="786"/>
      <c r="U222" s="787"/>
    </row>
    <row r="223" spans="1:21" s="783" customFormat="1">
      <c r="A223" s="781"/>
      <c r="B223" s="788"/>
      <c r="C223" s="1333" t="s">
        <v>713</v>
      </c>
      <c r="D223" s="790" t="s">
        <v>714</v>
      </c>
      <c r="E223" s="1485"/>
      <c r="F223" s="759" t="s">
        <v>87</v>
      </c>
      <c r="G223" s="673"/>
      <c r="H223" s="673"/>
      <c r="I223" s="673"/>
      <c r="J223" s="673"/>
      <c r="K223" s="687"/>
      <c r="L223" s="755"/>
      <c r="N223" s="731"/>
      <c r="O223" s="785"/>
      <c r="P223" s="733"/>
      <c r="Q223" s="733"/>
      <c r="R223" s="733"/>
      <c r="S223" s="733"/>
      <c r="T223" s="786"/>
      <c r="U223" s="787"/>
    </row>
    <row r="224" spans="1:21" s="783" customFormat="1">
      <c r="A224" s="781"/>
      <c r="B224" s="788"/>
      <c r="C224" s="1333" t="s">
        <v>715</v>
      </c>
      <c r="D224" s="790" t="s">
        <v>716</v>
      </c>
      <c r="E224" s="1485"/>
      <c r="F224" s="759" t="s">
        <v>87</v>
      </c>
      <c r="G224" s="673"/>
      <c r="H224" s="673"/>
      <c r="I224" s="673"/>
      <c r="J224" s="673"/>
      <c r="K224" s="687"/>
      <c r="L224" s="755"/>
      <c r="N224" s="731"/>
      <c r="O224" s="785"/>
      <c r="P224" s="733"/>
      <c r="Q224" s="733"/>
      <c r="R224" s="733"/>
      <c r="S224" s="733"/>
      <c r="T224" s="786"/>
      <c r="U224" s="787"/>
    </row>
    <row r="225" spans="1:21" s="783" customFormat="1">
      <c r="A225" s="781"/>
      <c r="B225" s="788"/>
      <c r="C225" s="1333" t="s">
        <v>717</v>
      </c>
      <c r="D225" s="790" t="s">
        <v>718</v>
      </c>
      <c r="E225" s="1485"/>
      <c r="F225" s="759" t="s">
        <v>87</v>
      </c>
      <c r="G225" s="673"/>
      <c r="H225" s="673"/>
      <c r="I225" s="673"/>
      <c r="J225" s="673"/>
      <c r="K225" s="687"/>
      <c r="L225" s="755"/>
      <c r="N225" s="731"/>
      <c r="O225" s="785"/>
      <c r="P225" s="733"/>
      <c r="Q225" s="733"/>
      <c r="R225" s="733"/>
      <c r="S225" s="733"/>
      <c r="T225" s="786"/>
      <c r="U225" s="787"/>
    </row>
    <row r="226" spans="1:21" s="783" customFormat="1">
      <c r="A226" s="781"/>
      <c r="B226" s="788"/>
      <c r="C226" s="1333" t="s">
        <v>719</v>
      </c>
      <c r="D226" s="790" t="s">
        <v>720</v>
      </c>
      <c r="E226" s="1485"/>
      <c r="F226" s="759" t="s">
        <v>87</v>
      </c>
      <c r="G226" s="673" t="s">
        <v>640</v>
      </c>
      <c r="H226" s="673"/>
      <c r="I226" s="673"/>
      <c r="J226" s="673"/>
      <c r="K226" s="687"/>
      <c r="L226" s="755"/>
      <c r="N226" s="731"/>
      <c r="O226" s="785"/>
      <c r="P226" s="733"/>
      <c r="Q226" s="733"/>
      <c r="R226" s="733"/>
      <c r="S226" s="733"/>
      <c r="T226" s="786"/>
      <c r="U226" s="787"/>
    </row>
    <row r="227" spans="1:21" s="783" customFormat="1" ht="65.25">
      <c r="A227" s="781"/>
      <c r="B227" s="788"/>
      <c r="C227" s="1333" t="s">
        <v>721</v>
      </c>
      <c r="D227" s="790" t="s">
        <v>841</v>
      </c>
      <c r="E227" s="1485"/>
      <c r="F227" s="759" t="s">
        <v>481</v>
      </c>
      <c r="G227" s="673"/>
      <c r="H227" s="673"/>
      <c r="I227" s="673"/>
      <c r="J227" s="673"/>
      <c r="K227" s="687"/>
      <c r="L227" s="755"/>
      <c r="N227" s="731"/>
      <c r="O227" s="785"/>
      <c r="P227" s="733"/>
      <c r="Q227" s="733"/>
      <c r="R227" s="733"/>
      <c r="S227" s="733"/>
      <c r="T227" s="786"/>
      <c r="U227" s="787"/>
    </row>
    <row r="228" spans="1:21" s="783" customFormat="1">
      <c r="A228" s="781"/>
      <c r="B228" s="788"/>
      <c r="C228" s="1333"/>
      <c r="D228" s="790"/>
      <c r="E228" s="1485"/>
      <c r="F228" s="759"/>
      <c r="G228" s="673"/>
      <c r="H228" s="673"/>
      <c r="I228" s="673"/>
      <c r="J228" s="673"/>
      <c r="K228" s="687"/>
      <c r="L228" s="755"/>
      <c r="N228" s="731"/>
      <c r="O228" s="785"/>
      <c r="P228" s="733"/>
      <c r="Q228" s="733"/>
      <c r="R228" s="733"/>
      <c r="S228" s="733"/>
      <c r="T228" s="786"/>
      <c r="U228" s="787"/>
    </row>
    <row r="229" spans="1:21" s="783" customFormat="1">
      <c r="A229" s="932">
        <v>4.2</v>
      </c>
      <c r="B229" s="933" t="s">
        <v>484</v>
      </c>
      <c r="C229" s="1333"/>
      <c r="D229" s="790"/>
      <c r="E229" s="1485"/>
      <c r="F229" s="759"/>
      <c r="G229" s="673"/>
      <c r="H229" s="673"/>
      <c r="I229" s="673"/>
      <c r="J229" s="673"/>
      <c r="K229" s="687"/>
      <c r="L229" s="755"/>
      <c r="N229" s="731"/>
      <c r="O229" s="785"/>
      <c r="P229" s="733"/>
      <c r="Q229" s="733"/>
      <c r="R229" s="733"/>
      <c r="S229" s="733"/>
      <c r="T229" s="786"/>
      <c r="U229" s="787"/>
    </row>
    <row r="230" spans="1:21" s="783" customFormat="1">
      <c r="A230" s="781"/>
      <c r="B230" s="788" t="s">
        <v>436</v>
      </c>
      <c r="C230" s="1334" t="s">
        <v>723</v>
      </c>
      <c r="E230" s="1485"/>
      <c r="F230" s="759"/>
      <c r="G230" s="673"/>
      <c r="H230" s="673"/>
      <c r="I230" s="673"/>
      <c r="J230" s="673"/>
      <c r="K230" s="687"/>
      <c r="L230" s="755"/>
      <c r="N230" s="731"/>
      <c r="O230" s="785"/>
      <c r="P230" s="733"/>
      <c r="Q230" s="733"/>
      <c r="R230" s="733"/>
      <c r="S230" s="733"/>
      <c r="T230" s="786"/>
      <c r="U230" s="787"/>
    </row>
    <row r="231" spans="1:21" s="783" customFormat="1">
      <c r="A231" s="781"/>
      <c r="B231" s="788"/>
      <c r="C231" s="1333"/>
      <c r="D231" s="790" t="s">
        <v>486</v>
      </c>
      <c r="E231" s="1485"/>
      <c r="F231" s="759" t="s">
        <v>185</v>
      </c>
      <c r="G231" s="673"/>
      <c r="H231" s="673"/>
      <c r="I231" s="673"/>
      <c r="J231" s="673"/>
      <c r="K231" s="687"/>
      <c r="L231" s="755"/>
      <c r="N231" s="731"/>
      <c r="O231" s="785"/>
      <c r="P231" s="733"/>
      <c r="Q231" s="733"/>
      <c r="R231" s="733"/>
      <c r="S231" s="733"/>
      <c r="T231" s="786"/>
      <c r="U231" s="787"/>
    </row>
    <row r="232" spans="1:21" s="783" customFormat="1">
      <c r="A232" s="781"/>
      <c r="B232" s="788"/>
      <c r="C232" s="1333"/>
      <c r="D232" s="790" t="s">
        <v>487</v>
      </c>
      <c r="E232" s="1485"/>
      <c r="F232" s="759" t="s">
        <v>185</v>
      </c>
      <c r="G232" s="673"/>
      <c r="H232" s="673"/>
      <c r="I232" s="673"/>
      <c r="J232" s="673"/>
      <c r="K232" s="687"/>
      <c r="L232" s="755"/>
      <c r="N232" s="731"/>
      <c r="O232" s="785"/>
      <c r="P232" s="733"/>
      <c r="Q232" s="733"/>
      <c r="R232" s="733"/>
      <c r="S232" s="733"/>
      <c r="T232" s="786"/>
      <c r="U232" s="787"/>
    </row>
    <row r="233" spans="1:21" s="783" customFormat="1">
      <c r="A233" s="781"/>
      <c r="B233" s="788"/>
      <c r="C233" s="1333"/>
      <c r="D233" s="790" t="s">
        <v>488</v>
      </c>
      <c r="E233" s="1485"/>
      <c r="F233" s="759" t="s">
        <v>185</v>
      </c>
      <c r="G233" s="673"/>
      <c r="H233" s="673"/>
      <c r="I233" s="673"/>
      <c r="J233" s="673"/>
      <c r="K233" s="687"/>
      <c r="L233" s="755"/>
      <c r="N233" s="731"/>
      <c r="O233" s="785"/>
      <c r="P233" s="733"/>
      <c r="Q233" s="733"/>
      <c r="R233" s="733"/>
      <c r="S233" s="733"/>
      <c r="T233" s="786"/>
      <c r="U233" s="787"/>
    </row>
    <row r="234" spans="1:21" s="783" customFormat="1">
      <c r="A234" s="781"/>
      <c r="B234" s="788"/>
      <c r="C234" s="1333"/>
      <c r="D234" s="790" t="s">
        <v>489</v>
      </c>
      <c r="E234" s="1485"/>
      <c r="F234" s="759" t="s">
        <v>185</v>
      </c>
      <c r="G234" s="673"/>
      <c r="H234" s="673"/>
      <c r="I234" s="673"/>
      <c r="J234" s="673"/>
      <c r="K234" s="687"/>
      <c r="L234" s="755"/>
      <c r="N234" s="731"/>
      <c r="O234" s="785"/>
      <c r="P234" s="733"/>
      <c r="Q234" s="733"/>
      <c r="R234" s="733"/>
      <c r="S234" s="733"/>
      <c r="T234" s="786"/>
      <c r="U234" s="787"/>
    </row>
    <row r="235" spans="1:21" s="783" customFormat="1">
      <c r="A235" s="781"/>
      <c r="B235" s="788"/>
      <c r="C235" s="1333"/>
      <c r="D235" s="790" t="s">
        <v>490</v>
      </c>
      <c r="E235" s="1485"/>
      <c r="F235" s="759" t="s">
        <v>185</v>
      </c>
      <c r="G235" s="673"/>
      <c r="H235" s="673"/>
      <c r="I235" s="673"/>
      <c r="J235" s="673"/>
      <c r="K235" s="687"/>
      <c r="L235" s="755"/>
      <c r="N235" s="731"/>
      <c r="O235" s="785"/>
      <c r="P235" s="733"/>
      <c r="Q235" s="733"/>
      <c r="R235" s="733"/>
      <c r="S235" s="733"/>
      <c r="T235" s="786"/>
      <c r="U235" s="787"/>
    </row>
    <row r="236" spans="1:21" s="783" customFormat="1">
      <c r="A236" s="781"/>
      <c r="B236" s="788"/>
      <c r="C236" s="1333"/>
      <c r="D236" s="790" t="s">
        <v>491</v>
      </c>
      <c r="E236" s="1485"/>
      <c r="F236" s="759" t="s">
        <v>185</v>
      </c>
      <c r="G236" s="673"/>
      <c r="H236" s="673"/>
      <c r="I236" s="673"/>
      <c r="J236" s="673"/>
      <c r="K236" s="687"/>
      <c r="L236" s="755"/>
      <c r="N236" s="731"/>
      <c r="O236" s="785"/>
      <c r="P236" s="733"/>
      <c r="Q236" s="733"/>
      <c r="R236" s="733"/>
      <c r="S236" s="733"/>
      <c r="T236" s="786"/>
      <c r="U236" s="787"/>
    </row>
    <row r="237" spans="1:21" s="783" customFormat="1">
      <c r="A237" s="781"/>
      <c r="B237" s="788" t="s">
        <v>439</v>
      </c>
      <c r="C237" s="934" t="s">
        <v>732</v>
      </c>
      <c r="D237" s="790"/>
      <c r="E237" s="1485"/>
      <c r="F237" s="759"/>
      <c r="G237" s="673"/>
      <c r="H237" s="673"/>
      <c r="I237" s="673"/>
      <c r="J237" s="673"/>
      <c r="K237" s="687"/>
      <c r="L237" s="755"/>
      <c r="N237" s="731"/>
      <c r="O237" s="785"/>
      <c r="P237" s="733"/>
      <c r="Q237" s="733"/>
      <c r="R237" s="733"/>
      <c r="S237" s="733"/>
      <c r="T237" s="786"/>
      <c r="U237" s="787"/>
    </row>
    <row r="238" spans="1:21" s="783" customFormat="1">
      <c r="A238" s="781"/>
      <c r="B238" s="929"/>
      <c r="C238" s="1335"/>
      <c r="D238" s="930" t="s">
        <v>842</v>
      </c>
      <c r="E238" s="1485"/>
      <c r="F238" s="759" t="s">
        <v>843</v>
      </c>
      <c r="G238" s="673"/>
      <c r="H238" s="673"/>
      <c r="I238" s="673"/>
      <c r="J238" s="673"/>
      <c r="K238" s="687"/>
      <c r="L238" s="755"/>
      <c r="N238" s="731"/>
      <c r="O238" s="785"/>
      <c r="P238" s="733"/>
      <c r="Q238" s="733"/>
      <c r="R238" s="733"/>
      <c r="S238" s="733"/>
      <c r="T238" s="786"/>
      <c r="U238" s="787"/>
    </row>
    <row r="239" spans="1:21" s="783" customFormat="1">
      <c r="A239" s="781"/>
      <c r="B239" s="788"/>
      <c r="C239" s="934"/>
      <c r="D239" s="782" t="s">
        <v>844</v>
      </c>
      <c r="E239" s="1485"/>
      <c r="F239" s="759" t="s">
        <v>843</v>
      </c>
      <c r="G239" s="673"/>
      <c r="H239" s="673"/>
      <c r="I239" s="673"/>
      <c r="J239" s="673"/>
      <c r="K239" s="687"/>
      <c r="L239" s="755"/>
      <c r="N239" s="731"/>
      <c r="O239" s="785"/>
      <c r="P239" s="733"/>
      <c r="Q239" s="733"/>
      <c r="R239" s="733"/>
      <c r="S239" s="733"/>
      <c r="T239" s="786"/>
      <c r="U239" s="787"/>
    </row>
    <row r="240" spans="1:21" s="783" customFormat="1">
      <c r="A240" s="781"/>
      <c r="B240" s="788"/>
      <c r="C240" s="1333"/>
      <c r="D240" s="790" t="s">
        <v>845</v>
      </c>
      <c r="E240" s="1485"/>
      <c r="F240" s="759" t="s">
        <v>843</v>
      </c>
      <c r="G240" s="673"/>
      <c r="H240" s="673"/>
      <c r="I240" s="673"/>
      <c r="J240" s="673"/>
      <c r="K240" s="687"/>
      <c r="L240" s="755"/>
      <c r="N240" s="731"/>
      <c r="O240" s="785"/>
      <c r="P240" s="733"/>
      <c r="Q240" s="733"/>
      <c r="R240" s="733"/>
      <c r="S240" s="733"/>
      <c r="T240" s="786"/>
      <c r="U240" s="787"/>
    </row>
    <row r="241" spans="1:21" s="783" customFormat="1">
      <c r="A241" s="781"/>
      <c r="B241" s="788"/>
      <c r="C241" s="1333"/>
      <c r="D241" s="790" t="s">
        <v>846</v>
      </c>
      <c r="E241" s="1485"/>
      <c r="F241" s="759" t="s">
        <v>843</v>
      </c>
      <c r="G241" s="673"/>
      <c r="H241" s="673"/>
      <c r="I241" s="673"/>
      <c r="J241" s="673"/>
      <c r="K241" s="687"/>
      <c r="L241" s="755"/>
      <c r="N241" s="731"/>
      <c r="O241" s="785"/>
      <c r="P241" s="733"/>
      <c r="Q241" s="733"/>
      <c r="R241" s="733"/>
      <c r="S241" s="733"/>
      <c r="T241" s="786"/>
      <c r="U241" s="787"/>
    </row>
    <row r="242" spans="1:21" s="783" customFormat="1">
      <c r="A242" s="781"/>
      <c r="B242" s="788"/>
      <c r="C242" s="1333"/>
      <c r="D242" s="790" t="s">
        <v>847</v>
      </c>
      <c r="E242" s="1485"/>
      <c r="F242" s="759" t="s">
        <v>843</v>
      </c>
      <c r="G242" s="673"/>
      <c r="H242" s="673"/>
      <c r="I242" s="673"/>
      <c r="J242" s="673"/>
      <c r="K242" s="687"/>
      <c r="L242" s="755"/>
      <c r="N242" s="731"/>
      <c r="O242" s="785"/>
      <c r="P242" s="733"/>
      <c r="Q242" s="733"/>
      <c r="R242" s="733"/>
      <c r="S242" s="733"/>
      <c r="T242" s="786"/>
      <c r="U242" s="787"/>
    </row>
    <row r="243" spans="1:21" s="783" customFormat="1">
      <c r="A243" s="781"/>
      <c r="B243" s="788"/>
      <c r="C243" s="1333"/>
      <c r="D243" s="790" t="s">
        <v>848</v>
      </c>
      <c r="E243" s="1485"/>
      <c r="F243" s="759" t="s">
        <v>843</v>
      </c>
      <c r="G243" s="673"/>
      <c r="H243" s="673"/>
      <c r="I243" s="673"/>
      <c r="J243" s="673"/>
      <c r="K243" s="687"/>
      <c r="L243" s="755"/>
      <c r="N243" s="731"/>
      <c r="O243" s="785"/>
      <c r="P243" s="733"/>
      <c r="Q243" s="733"/>
      <c r="R243" s="733"/>
      <c r="S243" s="733"/>
      <c r="T243" s="786"/>
      <c r="U243" s="787"/>
    </row>
    <row r="244" spans="1:21" s="783" customFormat="1">
      <c r="A244" s="781"/>
      <c r="B244" s="788" t="s">
        <v>443</v>
      </c>
      <c r="C244" s="935" t="s">
        <v>740</v>
      </c>
      <c r="D244" s="790"/>
      <c r="E244" s="1485"/>
      <c r="F244" s="759"/>
      <c r="G244" s="673"/>
      <c r="H244" s="673"/>
      <c r="I244" s="673"/>
      <c r="J244" s="673"/>
      <c r="K244" s="687"/>
      <c r="L244" s="755"/>
      <c r="N244" s="731"/>
      <c r="O244" s="785"/>
      <c r="P244" s="733"/>
      <c r="Q244" s="733"/>
      <c r="R244" s="733"/>
      <c r="S244" s="733"/>
      <c r="T244" s="786"/>
      <c r="U244" s="787"/>
    </row>
    <row r="245" spans="1:21" s="783" customFormat="1">
      <c r="A245" s="781"/>
      <c r="B245" s="788"/>
      <c r="C245" s="1333"/>
      <c r="D245" s="790" t="s">
        <v>849</v>
      </c>
      <c r="E245" s="1485"/>
      <c r="F245" s="759" t="s">
        <v>240</v>
      </c>
      <c r="G245" s="673"/>
      <c r="H245" s="673"/>
      <c r="I245" s="673"/>
      <c r="J245" s="673"/>
      <c r="K245" s="687"/>
      <c r="L245" s="755"/>
      <c r="N245" s="731"/>
      <c r="O245" s="785"/>
      <c r="P245" s="733"/>
      <c r="Q245" s="733"/>
      <c r="R245" s="733"/>
      <c r="S245" s="733"/>
      <c r="T245" s="786"/>
      <c r="U245" s="787"/>
    </row>
    <row r="246" spans="1:21" s="783" customFormat="1">
      <c r="A246" s="781"/>
      <c r="B246" s="788"/>
      <c r="C246" s="1333"/>
      <c r="D246" s="790" t="s">
        <v>850</v>
      </c>
      <c r="E246" s="1485"/>
      <c r="F246" s="759" t="s">
        <v>240</v>
      </c>
      <c r="G246" s="673"/>
      <c r="H246" s="673"/>
      <c r="I246" s="673"/>
      <c r="J246" s="673"/>
      <c r="K246" s="687"/>
      <c r="L246" s="755"/>
      <c r="N246" s="731"/>
      <c r="O246" s="785"/>
      <c r="P246" s="733"/>
      <c r="Q246" s="733"/>
      <c r="R246" s="733"/>
      <c r="S246" s="733"/>
      <c r="T246" s="786"/>
      <c r="U246" s="787"/>
    </row>
    <row r="247" spans="1:21" s="783" customFormat="1">
      <c r="A247" s="781"/>
      <c r="B247" s="788"/>
      <c r="C247" s="934"/>
      <c r="D247" s="928" t="s">
        <v>851</v>
      </c>
      <c r="E247" s="1485"/>
      <c r="F247" s="759" t="s">
        <v>87</v>
      </c>
      <c r="G247" s="673"/>
      <c r="H247" s="673"/>
      <c r="I247" s="673"/>
      <c r="J247" s="673"/>
      <c r="K247" s="687"/>
      <c r="L247" s="755"/>
      <c r="N247" s="731"/>
      <c r="O247" s="785"/>
      <c r="P247" s="733"/>
      <c r="Q247" s="733"/>
      <c r="R247" s="733"/>
      <c r="S247" s="733"/>
      <c r="T247" s="786"/>
      <c r="U247" s="787"/>
    </row>
    <row r="248" spans="1:21" s="783" customFormat="1">
      <c r="A248" s="781"/>
      <c r="B248" s="788"/>
      <c r="C248" s="1333"/>
      <c r="D248" s="790" t="s">
        <v>852</v>
      </c>
      <c r="E248" s="1485"/>
      <c r="F248" s="759" t="s">
        <v>87</v>
      </c>
      <c r="G248" s="673"/>
      <c r="H248" s="673"/>
      <c r="I248" s="673"/>
      <c r="J248" s="673"/>
      <c r="K248" s="687"/>
      <c r="L248" s="755"/>
      <c r="N248" s="731"/>
      <c r="O248" s="785"/>
      <c r="P248" s="733"/>
      <c r="Q248" s="733"/>
      <c r="R248" s="733"/>
      <c r="S248" s="733"/>
      <c r="T248" s="786"/>
      <c r="U248" s="787"/>
    </row>
    <row r="249" spans="1:21" s="783" customFormat="1">
      <c r="A249" s="781"/>
      <c r="B249" s="788" t="s">
        <v>745</v>
      </c>
      <c r="C249" s="935" t="s">
        <v>500</v>
      </c>
      <c r="D249" s="790"/>
      <c r="E249" s="1485"/>
      <c r="F249" s="759"/>
      <c r="G249" s="673"/>
      <c r="H249" s="673"/>
      <c r="I249" s="673"/>
      <c r="J249" s="673"/>
      <c r="K249" s="687"/>
      <c r="L249" s="755"/>
      <c r="N249" s="731"/>
      <c r="O249" s="785"/>
      <c r="P249" s="733"/>
      <c r="Q249" s="733"/>
      <c r="R249" s="733"/>
      <c r="S249" s="733"/>
      <c r="T249" s="786"/>
      <c r="U249" s="787"/>
    </row>
    <row r="250" spans="1:21" s="783" customFormat="1" ht="43.5">
      <c r="A250" s="781"/>
      <c r="B250" s="788"/>
      <c r="C250" s="1333"/>
      <c r="D250" s="790" t="s">
        <v>853</v>
      </c>
      <c r="E250" s="1485"/>
      <c r="F250" s="759" t="s">
        <v>240</v>
      </c>
      <c r="G250" s="673"/>
      <c r="H250" s="673"/>
      <c r="I250" s="673"/>
      <c r="J250" s="673"/>
      <c r="K250" s="687"/>
      <c r="L250" s="755"/>
      <c r="N250" s="731"/>
      <c r="O250" s="785"/>
      <c r="P250" s="733"/>
      <c r="Q250" s="733"/>
      <c r="R250" s="733"/>
      <c r="S250" s="733"/>
      <c r="T250" s="786"/>
      <c r="U250" s="787"/>
    </row>
    <row r="251" spans="1:21" s="783" customFormat="1" ht="43.5">
      <c r="A251" s="781"/>
      <c r="B251" s="788"/>
      <c r="C251" s="1333"/>
      <c r="D251" s="790" t="s">
        <v>854</v>
      </c>
      <c r="E251" s="1485"/>
      <c r="F251" s="759" t="s">
        <v>240</v>
      </c>
      <c r="G251" s="673"/>
      <c r="H251" s="673"/>
      <c r="I251" s="673"/>
      <c r="J251" s="673"/>
      <c r="K251" s="687"/>
      <c r="L251" s="755"/>
      <c r="N251" s="731"/>
      <c r="O251" s="785"/>
      <c r="P251" s="733"/>
      <c r="Q251" s="733"/>
      <c r="R251" s="733"/>
      <c r="S251" s="733"/>
      <c r="T251" s="786"/>
      <c r="U251" s="787"/>
    </row>
    <row r="252" spans="1:21" s="783" customFormat="1">
      <c r="A252" s="781"/>
      <c r="B252" s="788"/>
      <c r="C252" s="1333"/>
      <c r="D252" s="790" t="s">
        <v>505</v>
      </c>
      <c r="E252" s="1485"/>
      <c r="F252" s="759"/>
      <c r="G252" s="673"/>
      <c r="H252" s="673"/>
      <c r="I252" s="673"/>
      <c r="J252" s="673"/>
      <c r="K252" s="687"/>
      <c r="L252" s="755"/>
      <c r="N252" s="731"/>
      <c r="O252" s="785"/>
      <c r="P252" s="733"/>
      <c r="Q252" s="733"/>
      <c r="R252" s="733"/>
      <c r="S252" s="733"/>
      <c r="T252" s="786"/>
      <c r="U252" s="787"/>
    </row>
    <row r="253" spans="1:21" s="783" customFormat="1">
      <c r="A253" s="781"/>
      <c r="B253" s="788"/>
      <c r="C253" s="1333"/>
      <c r="D253" s="790" t="s">
        <v>855</v>
      </c>
      <c r="E253" s="1485"/>
      <c r="F253" s="759" t="s">
        <v>240</v>
      </c>
      <c r="G253" s="673" t="s">
        <v>640</v>
      </c>
      <c r="H253" s="673"/>
      <c r="I253" s="673"/>
      <c r="J253" s="673"/>
      <c r="K253" s="687"/>
      <c r="L253" s="755"/>
      <c r="N253" s="731"/>
      <c r="O253" s="785"/>
      <c r="P253" s="733"/>
      <c r="Q253" s="733"/>
      <c r="R253" s="733"/>
      <c r="S253" s="733"/>
      <c r="T253" s="786"/>
      <c r="U253" s="787"/>
    </row>
    <row r="254" spans="1:21" s="783" customFormat="1">
      <c r="A254" s="781"/>
      <c r="B254" s="788"/>
      <c r="C254" s="1333"/>
      <c r="D254" s="790" t="s">
        <v>856</v>
      </c>
      <c r="E254" s="1485"/>
      <c r="F254" s="759" t="s">
        <v>240</v>
      </c>
      <c r="G254" s="673" t="s">
        <v>640</v>
      </c>
      <c r="H254" s="673"/>
      <c r="I254" s="673"/>
      <c r="J254" s="673"/>
      <c r="K254" s="687"/>
      <c r="L254" s="755"/>
      <c r="N254" s="731"/>
      <c r="O254" s="785"/>
      <c r="P254" s="733"/>
      <c r="Q254" s="733"/>
      <c r="R254" s="733"/>
      <c r="S254" s="733"/>
      <c r="T254" s="786"/>
      <c r="U254" s="787"/>
    </row>
    <row r="255" spans="1:21" s="783" customFormat="1">
      <c r="A255" s="781"/>
      <c r="B255" s="788"/>
      <c r="C255" s="934"/>
      <c r="D255" s="928" t="s">
        <v>857</v>
      </c>
      <c r="E255" s="1485"/>
      <c r="F255" s="759" t="s">
        <v>87</v>
      </c>
      <c r="G255" s="673"/>
      <c r="H255" s="673"/>
      <c r="I255" s="673"/>
      <c r="J255" s="673"/>
      <c r="K255" s="687"/>
      <c r="L255" s="755"/>
      <c r="N255" s="731"/>
      <c r="O255" s="785"/>
      <c r="P255" s="733"/>
      <c r="Q255" s="733"/>
      <c r="R255" s="733"/>
      <c r="S255" s="733"/>
      <c r="T255" s="786"/>
      <c r="U255" s="787"/>
    </row>
    <row r="256" spans="1:21" s="783" customFormat="1">
      <c r="A256" s="781"/>
      <c r="B256" s="788"/>
      <c r="C256" s="1333"/>
      <c r="D256" s="790" t="s">
        <v>858</v>
      </c>
      <c r="E256" s="1485"/>
      <c r="F256" s="759" t="s">
        <v>87</v>
      </c>
      <c r="G256" s="673"/>
      <c r="H256" s="673"/>
      <c r="I256" s="673"/>
      <c r="J256" s="673"/>
      <c r="K256" s="687"/>
      <c r="L256" s="755"/>
      <c r="N256" s="731"/>
      <c r="O256" s="785"/>
      <c r="P256" s="733"/>
      <c r="Q256" s="733"/>
      <c r="R256" s="733"/>
      <c r="S256" s="733"/>
      <c r="T256" s="786"/>
      <c r="U256" s="787"/>
    </row>
    <row r="257" spans="1:21" s="783" customFormat="1">
      <c r="A257" s="781"/>
      <c r="B257" s="933" t="s">
        <v>748</v>
      </c>
      <c r="C257" s="935" t="s">
        <v>543</v>
      </c>
      <c r="D257" s="790"/>
      <c r="E257" s="1485"/>
      <c r="F257" s="759"/>
      <c r="G257" s="673"/>
      <c r="H257" s="673"/>
      <c r="I257" s="673"/>
      <c r="J257" s="673"/>
      <c r="K257" s="687"/>
      <c r="L257" s="755"/>
      <c r="N257" s="731"/>
      <c r="O257" s="785"/>
      <c r="P257" s="733"/>
      <c r="Q257" s="733"/>
      <c r="R257" s="733"/>
      <c r="S257" s="733"/>
      <c r="T257" s="786"/>
      <c r="U257" s="787"/>
    </row>
    <row r="258" spans="1:21" s="783" customFormat="1">
      <c r="A258" s="781"/>
      <c r="B258" s="788"/>
      <c r="C258" s="1333" t="s">
        <v>282</v>
      </c>
      <c r="D258" s="790" t="s">
        <v>753</v>
      </c>
      <c r="E258" s="1485"/>
      <c r="F258" s="759" t="s">
        <v>240</v>
      </c>
      <c r="G258" s="673"/>
      <c r="H258" s="673"/>
      <c r="I258" s="673"/>
      <c r="J258" s="673"/>
      <c r="K258" s="687"/>
      <c r="L258" s="755"/>
      <c r="N258" s="731"/>
      <c r="O258" s="785"/>
      <c r="P258" s="733"/>
      <c r="Q258" s="733"/>
      <c r="R258" s="733"/>
      <c r="S258" s="733"/>
      <c r="T258" s="786"/>
      <c r="U258" s="787"/>
    </row>
    <row r="259" spans="1:21" s="783" customFormat="1">
      <c r="A259" s="781"/>
      <c r="B259" s="788"/>
      <c r="C259" s="1333" t="s">
        <v>282</v>
      </c>
      <c r="D259" s="790" t="s">
        <v>547</v>
      </c>
      <c r="E259" s="1485"/>
      <c r="F259" s="759"/>
      <c r="G259" s="673"/>
      <c r="H259" s="673"/>
      <c r="I259" s="673"/>
      <c r="J259" s="673"/>
      <c r="K259" s="687"/>
      <c r="L259" s="755"/>
      <c r="N259" s="731"/>
      <c r="O259" s="785"/>
      <c r="P259" s="733"/>
      <c r="Q259" s="733"/>
      <c r="R259" s="733"/>
      <c r="S259" s="733"/>
      <c r="T259" s="786"/>
      <c r="U259" s="787"/>
    </row>
    <row r="260" spans="1:21" s="783" customFormat="1">
      <c r="A260" s="781"/>
      <c r="B260" s="788"/>
      <c r="C260" s="1333" t="s">
        <v>282</v>
      </c>
      <c r="D260" s="928" t="s">
        <v>548</v>
      </c>
      <c r="E260" s="1485"/>
      <c r="F260" s="759" t="s">
        <v>240</v>
      </c>
      <c r="G260" s="673"/>
      <c r="H260" s="673"/>
      <c r="I260" s="673"/>
      <c r="J260" s="673"/>
      <c r="K260" s="687"/>
      <c r="L260" s="755"/>
      <c r="N260" s="731"/>
      <c r="O260" s="785"/>
      <c r="P260" s="733"/>
      <c r="Q260" s="733"/>
      <c r="R260" s="733"/>
      <c r="S260" s="733"/>
      <c r="T260" s="786"/>
      <c r="U260" s="787"/>
    </row>
    <row r="261" spans="1:21" s="783" customFormat="1">
      <c r="A261" s="781"/>
      <c r="B261" s="788"/>
      <c r="C261" s="1333" t="s">
        <v>282</v>
      </c>
      <c r="D261" s="790" t="s">
        <v>549</v>
      </c>
      <c r="E261" s="1485"/>
      <c r="F261" s="759" t="s">
        <v>240</v>
      </c>
      <c r="G261" s="673"/>
      <c r="H261" s="673"/>
      <c r="I261" s="673"/>
      <c r="J261" s="673"/>
      <c r="K261" s="687"/>
      <c r="L261" s="755"/>
      <c r="N261" s="731"/>
      <c r="O261" s="785"/>
      <c r="P261" s="733"/>
      <c r="Q261" s="733"/>
      <c r="R261" s="733"/>
      <c r="S261" s="733"/>
      <c r="T261" s="786"/>
      <c r="U261" s="787"/>
    </row>
    <row r="262" spans="1:21" s="783" customFormat="1">
      <c r="A262" s="781"/>
      <c r="B262" s="788"/>
      <c r="C262" s="1333" t="s">
        <v>282</v>
      </c>
      <c r="D262" s="790" t="s">
        <v>756</v>
      </c>
      <c r="E262" s="1485"/>
      <c r="F262" s="759"/>
      <c r="G262" s="673"/>
      <c r="H262" s="673"/>
      <c r="I262" s="673"/>
      <c r="J262" s="673"/>
      <c r="K262" s="687"/>
      <c r="L262" s="755"/>
      <c r="N262" s="731"/>
      <c r="O262" s="785"/>
      <c r="P262" s="733"/>
      <c r="Q262" s="733"/>
      <c r="R262" s="733"/>
      <c r="S262" s="733"/>
      <c r="T262" s="786"/>
      <c r="U262" s="787"/>
    </row>
    <row r="263" spans="1:21" s="783" customFormat="1">
      <c r="A263" s="781"/>
      <c r="B263" s="788"/>
      <c r="C263" s="1333" t="s">
        <v>282</v>
      </c>
      <c r="D263" s="928" t="s">
        <v>757</v>
      </c>
      <c r="E263" s="1485"/>
      <c r="F263" s="759" t="s">
        <v>240</v>
      </c>
      <c r="G263" s="673"/>
      <c r="H263" s="673"/>
      <c r="I263" s="673"/>
      <c r="J263" s="673"/>
      <c r="K263" s="687"/>
      <c r="L263" s="755"/>
      <c r="N263" s="731"/>
      <c r="O263" s="785"/>
      <c r="P263" s="733"/>
      <c r="Q263" s="733"/>
      <c r="R263" s="733"/>
      <c r="S263" s="733"/>
      <c r="T263" s="786"/>
      <c r="U263" s="787"/>
    </row>
    <row r="264" spans="1:21" s="783" customFormat="1">
      <c r="A264" s="781"/>
      <c r="B264" s="788"/>
      <c r="C264" s="1333" t="s">
        <v>282</v>
      </c>
      <c r="D264" s="790" t="s">
        <v>758</v>
      </c>
      <c r="E264" s="1485"/>
      <c r="F264" s="759" t="s">
        <v>87</v>
      </c>
      <c r="G264" s="673"/>
      <c r="H264" s="673"/>
      <c r="I264" s="673"/>
      <c r="J264" s="673"/>
      <c r="K264" s="687"/>
      <c r="L264" s="755"/>
      <c r="N264" s="731"/>
      <c r="O264" s="785"/>
      <c r="P264" s="733"/>
      <c r="Q264" s="733"/>
      <c r="R264" s="733"/>
      <c r="S264" s="733"/>
      <c r="T264" s="786"/>
      <c r="U264" s="787"/>
    </row>
    <row r="265" spans="1:21" s="783" customFormat="1">
      <c r="A265" s="781"/>
      <c r="B265" s="788"/>
      <c r="C265" s="1333" t="s">
        <v>282</v>
      </c>
      <c r="D265" s="790" t="s">
        <v>556</v>
      </c>
      <c r="E265" s="1485"/>
      <c r="F265" s="759" t="s">
        <v>277</v>
      </c>
      <c r="G265" s="673"/>
      <c r="H265" s="673"/>
      <c r="I265" s="673"/>
      <c r="J265" s="673"/>
      <c r="K265" s="687"/>
      <c r="L265" s="755"/>
      <c r="N265" s="731"/>
      <c r="O265" s="785"/>
      <c r="P265" s="733"/>
      <c r="Q265" s="733"/>
      <c r="R265" s="733"/>
      <c r="S265" s="733"/>
      <c r="T265" s="786"/>
      <c r="U265" s="787"/>
    </row>
    <row r="266" spans="1:21" s="783" customFormat="1">
      <c r="A266" s="781"/>
      <c r="B266" s="788"/>
      <c r="C266" s="1333" t="s">
        <v>282</v>
      </c>
      <c r="D266" s="790" t="s">
        <v>759</v>
      </c>
      <c r="E266" s="1485"/>
      <c r="F266" s="759" t="s">
        <v>277</v>
      </c>
      <c r="G266" s="673"/>
      <c r="H266" s="673"/>
      <c r="I266" s="673"/>
      <c r="J266" s="673"/>
      <c r="K266" s="687"/>
      <c r="L266" s="755"/>
      <c r="N266" s="731"/>
      <c r="O266" s="785"/>
      <c r="P266" s="733"/>
      <c r="Q266" s="733"/>
      <c r="R266" s="733"/>
      <c r="S266" s="733"/>
      <c r="T266" s="786"/>
      <c r="U266" s="787"/>
    </row>
    <row r="267" spans="1:21">
      <c r="A267" s="607"/>
      <c r="B267" s="776"/>
      <c r="C267" s="1336"/>
      <c r="D267" s="622"/>
      <c r="E267" s="1488"/>
      <c r="F267" s="608"/>
      <c r="G267" s="610"/>
      <c r="H267" s="611"/>
      <c r="I267" s="610"/>
      <c r="J267" s="612"/>
      <c r="K267" s="688"/>
      <c r="L267" s="756"/>
      <c r="N267" s="14"/>
      <c r="O267" s="15"/>
      <c r="P267" s="20"/>
      <c r="Q267" s="17"/>
      <c r="R267" s="20"/>
      <c r="S267" s="16"/>
      <c r="T267" s="18"/>
      <c r="U267" s="13"/>
    </row>
    <row r="268" spans="1:21" ht="23.25">
      <c r="A268" s="136"/>
      <c r="B268" s="777"/>
      <c r="C268" s="1337"/>
      <c r="D268" s="139"/>
      <c r="E268" s="1489"/>
      <c r="F268" s="803" t="s">
        <v>13</v>
      </c>
      <c r="G268" s="122"/>
      <c r="H268" s="817"/>
      <c r="I268" s="818"/>
      <c r="J268" s="817"/>
      <c r="K268" s="819"/>
      <c r="L268" s="822"/>
      <c r="N268" s="233"/>
      <c r="O268" s="7"/>
      <c r="P268" s="2"/>
      <c r="Q268" s="8"/>
      <c r="R268" s="147"/>
      <c r="S268" s="2"/>
      <c r="T268" s="9"/>
      <c r="U268" s="13"/>
    </row>
    <row r="269" spans="1:21" s="1166" customFormat="1" ht="26.25">
      <c r="A269" s="1157"/>
      <c r="B269" s="1158"/>
      <c r="C269" s="1338"/>
      <c r="D269" s="1159" t="s">
        <v>760</v>
      </c>
      <c r="E269" s="1490">
        <v>2</v>
      </c>
      <c r="F269" s="1160" t="s">
        <v>19</v>
      </c>
      <c r="G269" s="1161"/>
      <c r="H269" s="1162"/>
      <c r="I269" s="1163"/>
      <c r="J269" s="1162"/>
      <c r="K269" s="1164"/>
      <c r="L269" s="1165"/>
      <c r="N269" s="1167"/>
      <c r="O269" s="1168"/>
      <c r="P269" s="1169"/>
      <c r="Q269" s="1170"/>
      <c r="R269" s="1171"/>
      <c r="S269" s="1169"/>
      <c r="T269" s="1172"/>
      <c r="U269" s="1173"/>
    </row>
    <row r="270" spans="1:21" ht="22.5" thickBot="1">
      <c r="A270" s="1673"/>
      <c r="B270" s="1674"/>
      <c r="C270" s="1674"/>
      <c r="D270" s="1674"/>
      <c r="E270" s="1674"/>
      <c r="F270" s="1675"/>
      <c r="G270" s="149"/>
      <c r="H270" s="149"/>
      <c r="I270" s="149"/>
      <c r="J270" s="149"/>
      <c r="K270" s="689"/>
      <c r="L270" s="757"/>
      <c r="N270" s="234"/>
      <c r="O270" s="13"/>
      <c r="P270" s="13"/>
      <c r="Q270" s="18"/>
      <c r="R270" s="18"/>
      <c r="S270" s="18"/>
      <c r="T270" s="18"/>
      <c r="U270" s="13"/>
    </row>
    <row r="271" spans="1:21">
      <c r="N271" s="234"/>
      <c r="O271" s="13"/>
      <c r="P271" s="13"/>
      <c r="Q271" s="13"/>
      <c r="R271" s="13"/>
      <c r="S271" s="13"/>
      <c r="T271" s="13"/>
      <c r="U271" s="13"/>
    </row>
    <row r="272" spans="1:21">
      <c r="N272" s="234"/>
      <c r="O272" s="13"/>
      <c r="P272" s="13"/>
      <c r="Q272" s="13"/>
      <c r="R272" s="13"/>
      <c r="S272" s="13"/>
      <c r="T272" s="13"/>
      <c r="U272" s="13"/>
    </row>
    <row r="275" spans="10:10">
      <c r="J275" s="12" t="s">
        <v>502</v>
      </c>
    </row>
  </sheetData>
  <mergeCells count="20">
    <mergeCell ref="R7:S7"/>
    <mergeCell ref="T7:T8"/>
    <mergeCell ref="A270:F270"/>
    <mergeCell ref="B105:D105"/>
    <mergeCell ref="I7:J7"/>
    <mergeCell ref="K7:K8"/>
    <mergeCell ref="L7:L8"/>
    <mergeCell ref="N7:N9"/>
    <mergeCell ref="O7:O9"/>
    <mergeCell ref="P7:Q7"/>
    <mergeCell ref="A7:A9"/>
    <mergeCell ref="B7:D9"/>
    <mergeCell ref="E7:E9"/>
    <mergeCell ref="F7:F9"/>
    <mergeCell ref="G7:H7"/>
    <mergeCell ref="A1:L1"/>
    <mergeCell ref="A2:L2"/>
    <mergeCell ref="A3:L3"/>
    <mergeCell ref="T4:T5"/>
    <mergeCell ref="N6:T6"/>
  </mergeCells>
  <phoneticPr fontId="105" type="noConversion"/>
  <printOptions horizontalCentered="1"/>
  <pageMargins left="0.2" right="0.2" top="0.5" bottom="0.5" header="0.3" footer="0.3"/>
  <pageSetup paperSize="9" scale="68" fitToHeight="0" orientation="landscape" r:id="rId1"/>
  <colBreaks count="1" manualBreakCount="1">
    <brk id="12" max="26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69BD-8B43-4F56-B4F9-C65A1987CF2A}">
  <sheetPr>
    <tabColor rgb="FF92D050"/>
    <pageSetUpPr fitToPage="1"/>
  </sheetPr>
  <dimension ref="A1:T37"/>
  <sheetViews>
    <sheetView view="pageBreakPreview" topLeftCell="A7" zoomScale="85" zoomScaleNormal="70" zoomScaleSheetLayoutView="85" workbookViewId="0">
      <selection activeCell="G22" sqref="G22"/>
    </sheetView>
  </sheetViews>
  <sheetFormatPr defaultColWidth="9.140625" defaultRowHeight="18.75" outlineLevelCol="1"/>
  <cols>
    <col min="1" max="1" width="10.85546875" style="549" customWidth="1"/>
    <col min="2" max="2" width="7.140625" style="549" customWidth="1"/>
    <col min="3" max="3" width="8" style="551" customWidth="1"/>
    <col min="4" max="4" width="58" style="954" customWidth="1"/>
    <col min="5" max="5" width="8.85546875" style="549" customWidth="1"/>
    <col min="6" max="6" width="14.5703125" style="984" bestFit="1" customWidth="1"/>
    <col min="7" max="7" width="15.28515625" style="984" customWidth="1" outlineLevel="1"/>
    <col min="8" max="8" width="20" style="549" customWidth="1" outlineLevel="1"/>
    <col min="9" max="9" width="15.28515625" style="984" customWidth="1" outlineLevel="1"/>
    <col min="10" max="11" width="20" style="549" customWidth="1" outlineLevel="1"/>
    <col min="12" max="12" width="20.42578125" style="985" customWidth="1"/>
    <col min="13" max="13" width="19.28515625" style="936" customWidth="1"/>
    <col min="14" max="14" width="12.140625" style="549" customWidth="1"/>
    <col min="15" max="15" width="9.140625" style="549"/>
    <col min="16" max="16" width="19.7109375" style="549" customWidth="1"/>
    <col min="17" max="17" width="14.28515625" style="549" customWidth="1"/>
    <col min="18" max="16384" width="9.140625" style="549"/>
  </cols>
  <sheetData>
    <row r="1" spans="1:20" ht="34.5" hidden="1" customHeight="1">
      <c r="A1" s="1742" t="s">
        <v>0</v>
      </c>
      <c r="B1" s="1743"/>
      <c r="C1" s="1743"/>
      <c r="D1" s="1743"/>
      <c r="E1" s="1743"/>
      <c r="F1" s="1743"/>
      <c r="G1" s="1743"/>
      <c r="H1" s="1743"/>
      <c r="I1" s="1743"/>
      <c r="J1" s="1743"/>
      <c r="K1" s="1743"/>
      <c r="L1" s="1744"/>
    </row>
    <row r="2" spans="1:20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1665"/>
      <c r="M2" s="937"/>
      <c r="N2" s="151"/>
      <c r="O2" s="151"/>
    </row>
    <row r="3" spans="1:20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8"/>
      <c r="M3" s="937"/>
      <c r="N3" s="151"/>
      <c r="O3" s="151"/>
    </row>
    <row r="4" spans="1:20" s="10" customFormat="1" ht="26.25" customHeight="1">
      <c r="A4" s="153" t="s">
        <v>1</v>
      </c>
      <c r="B4" s="89"/>
      <c r="C4" s="90"/>
      <c r="D4" s="89" t="s">
        <v>559</v>
      </c>
      <c r="E4" s="91"/>
      <c r="F4" s="92"/>
      <c r="G4" s="92"/>
      <c r="H4" s="91"/>
      <c r="I4" s="154" t="s">
        <v>108</v>
      </c>
      <c r="J4" s="98"/>
      <c r="K4" s="675"/>
      <c r="L4" s="99"/>
      <c r="M4" s="937"/>
      <c r="N4" s="151"/>
      <c r="O4" s="151"/>
      <c r="T4" s="1716"/>
    </row>
    <row r="5" spans="1:20" s="10" customFormat="1" ht="27" customHeight="1">
      <c r="A5" s="155" t="s">
        <v>109</v>
      </c>
      <c r="B5" s="94"/>
      <c r="C5" s="95"/>
      <c r="D5" s="94" t="s">
        <v>859</v>
      </c>
      <c r="E5" s="96"/>
      <c r="F5" s="97"/>
      <c r="G5" s="97"/>
      <c r="H5" s="96"/>
      <c r="I5" s="154" t="s">
        <v>111</v>
      </c>
      <c r="J5" s="98"/>
      <c r="K5" s="675"/>
      <c r="L5" s="99"/>
      <c r="M5" s="937"/>
      <c r="N5" s="151"/>
      <c r="O5" s="151"/>
      <c r="T5" s="1716"/>
    </row>
    <row r="6" spans="1:20" s="10" customFormat="1" ht="27" thickBot="1">
      <c r="A6" s="156" t="s">
        <v>3</v>
      </c>
      <c r="B6" s="101"/>
      <c r="C6" s="102"/>
      <c r="D6" s="101" t="s">
        <v>561</v>
      </c>
      <c r="E6" s="103"/>
      <c r="F6" s="104"/>
      <c r="G6" s="104"/>
      <c r="H6" s="103"/>
      <c r="I6" s="157" t="s">
        <v>113</v>
      </c>
      <c r="J6" s="158"/>
      <c r="K6" s="676"/>
      <c r="L6" s="159"/>
      <c r="M6" s="937"/>
      <c r="N6" s="1717"/>
      <c r="O6" s="1717"/>
      <c r="P6" s="1717"/>
      <c r="Q6" s="1717"/>
      <c r="R6" s="1717"/>
      <c r="S6" s="1717"/>
      <c r="T6" s="1717"/>
    </row>
    <row r="7" spans="1:20" s="942" customFormat="1" ht="23.25">
      <c r="A7" s="1718" t="s">
        <v>6</v>
      </c>
      <c r="B7" s="1721" t="s">
        <v>7</v>
      </c>
      <c r="C7" s="1722"/>
      <c r="D7" s="1723"/>
      <c r="E7" s="1730" t="s">
        <v>9</v>
      </c>
      <c r="F7" s="1733" t="s">
        <v>8</v>
      </c>
      <c r="G7" s="1736" t="s">
        <v>10</v>
      </c>
      <c r="H7" s="1736"/>
      <c r="I7" s="1736" t="s">
        <v>11</v>
      </c>
      <c r="J7" s="1736"/>
      <c r="K7" s="960"/>
      <c r="L7" s="1739" t="s">
        <v>13</v>
      </c>
      <c r="M7" s="1741"/>
      <c r="N7" s="941"/>
    </row>
    <row r="8" spans="1:20" s="942" customFormat="1" ht="23.25">
      <c r="A8" s="1719"/>
      <c r="B8" s="1724"/>
      <c r="C8" s="1725"/>
      <c r="D8" s="1726"/>
      <c r="E8" s="1731"/>
      <c r="F8" s="1734"/>
      <c r="G8" s="962" t="s">
        <v>9</v>
      </c>
      <c r="H8" s="963" t="s">
        <v>13</v>
      </c>
      <c r="I8" s="962" t="s">
        <v>9</v>
      </c>
      <c r="J8" s="963" t="s">
        <v>13</v>
      </c>
      <c r="K8" s="964" t="s">
        <v>12</v>
      </c>
      <c r="L8" s="1740"/>
      <c r="M8" s="1741"/>
      <c r="N8" s="941"/>
    </row>
    <row r="9" spans="1:20" s="942" customFormat="1" ht="24" thickBot="1">
      <c r="A9" s="1720"/>
      <c r="B9" s="1727"/>
      <c r="C9" s="1728"/>
      <c r="D9" s="1729"/>
      <c r="E9" s="1732"/>
      <c r="F9" s="1735"/>
      <c r="G9" s="965" t="s">
        <v>115</v>
      </c>
      <c r="H9" s="966" t="s">
        <v>14</v>
      </c>
      <c r="I9" s="965" t="s">
        <v>115</v>
      </c>
      <c r="J9" s="966" t="s">
        <v>14</v>
      </c>
      <c r="K9" s="966" t="s">
        <v>14</v>
      </c>
      <c r="L9" s="986" t="s">
        <v>14</v>
      </c>
      <c r="M9" s="1741"/>
      <c r="N9" s="941"/>
    </row>
    <row r="10" spans="1:20" s="946" customFormat="1" ht="24">
      <c r="A10" s="988">
        <v>1</v>
      </c>
      <c r="B10" s="989" t="s">
        <v>860</v>
      </c>
      <c r="C10" s="990"/>
      <c r="D10" s="991"/>
      <c r="E10" s="1025"/>
      <c r="F10" s="992"/>
      <c r="G10" s="993"/>
      <c r="H10" s="994"/>
      <c r="I10" s="994"/>
      <c r="J10" s="994"/>
      <c r="K10" s="995"/>
      <c r="L10" s="996"/>
      <c r="M10" s="950"/>
      <c r="N10" s="947"/>
    </row>
    <row r="11" spans="1:20" s="946" customFormat="1" ht="21.75">
      <c r="A11" s="997"/>
      <c r="B11" s="1021">
        <v>1.1000000000000001</v>
      </c>
      <c r="C11" s="1023" t="s">
        <v>861</v>
      </c>
      <c r="D11" s="1024"/>
      <c r="E11" s="1000"/>
      <c r="F11" s="1001"/>
      <c r="G11" s="1001"/>
      <c r="H11" s="1001"/>
      <c r="I11" s="1001"/>
      <c r="J11" s="1001"/>
      <c r="K11" s="1002"/>
      <c r="L11" s="1003"/>
      <c r="N11" s="947"/>
      <c r="P11" s="948"/>
    </row>
    <row r="12" spans="1:20" s="946" customFormat="1" ht="21.75">
      <c r="A12" s="997"/>
      <c r="B12" s="998"/>
      <c r="C12" s="1000" t="s">
        <v>862</v>
      </c>
      <c r="D12" s="1024"/>
      <c r="E12" s="1018" t="s">
        <v>185</v>
      </c>
      <c r="F12" s="1004"/>
      <c r="G12" s="1005"/>
      <c r="H12" s="1005"/>
      <c r="I12" s="1005"/>
      <c r="J12" s="1005"/>
      <c r="K12" s="1006"/>
      <c r="L12" s="1007"/>
      <c r="M12" s="950">
        <f>0.4*0.4*120</f>
        <v>19.200000000000003</v>
      </c>
      <c r="N12" s="947">
        <f>M12*0.8</f>
        <v>15.360000000000003</v>
      </c>
      <c r="O12" s="946">
        <f>SUM(M12:N12)</f>
        <v>34.56</v>
      </c>
      <c r="P12" s="948"/>
    </row>
    <row r="13" spans="1:20" s="946" customFormat="1" ht="21.75">
      <c r="A13" s="997"/>
      <c r="B13" s="998"/>
      <c r="C13" s="1000" t="s">
        <v>863</v>
      </c>
      <c r="D13" s="1024"/>
      <c r="E13" s="1018" t="s">
        <v>864</v>
      </c>
      <c r="F13" s="1004"/>
      <c r="G13" s="1005"/>
      <c r="H13" s="1005"/>
      <c r="I13" s="1005"/>
      <c r="J13" s="1005"/>
      <c r="K13" s="1006"/>
      <c r="L13" s="1007"/>
      <c r="M13" s="950">
        <f>350*0.4*0.08</f>
        <v>11.200000000000001</v>
      </c>
      <c r="N13" s="947">
        <v>560</v>
      </c>
      <c r="P13" s="948"/>
    </row>
    <row r="14" spans="1:20" s="946" customFormat="1" ht="21.75">
      <c r="A14" s="997"/>
      <c r="B14" s="998"/>
      <c r="C14" s="1000" t="s">
        <v>865</v>
      </c>
      <c r="D14" s="1024"/>
      <c r="E14" s="1018" t="s">
        <v>185</v>
      </c>
      <c r="F14" s="1004"/>
      <c r="G14" s="1005"/>
      <c r="H14" s="1005"/>
      <c r="I14" s="1005"/>
      <c r="J14" s="1005"/>
      <c r="K14" s="1006"/>
      <c r="L14" s="1007"/>
      <c r="M14" s="974">
        <f>295*1.07</f>
        <v>315.65000000000003</v>
      </c>
      <c r="N14" s="947"/>
      <c r="P14" s="948"/>
    </row>
    <row r="15" spans="1:20" s="946" customFormat="1" ht="21.75">
      <c r="A15" s="997"/>
      <c r="B15" s="998"/>
      <c r="C15" s="1000" t="s">
        <v>866</v>
      </c>
      <c r="D15" s="1024"/>
      <c r="E15" s="1018" t="s">
        <v>87</v>
      </c>
      <c r="F15" s="1004"/>
      <c r="G15" s="1005"/>
      <c r="H15" s="1005"/>
      <c r="I15" s="1005"/>
      <c r="J15" s="1005"/>
      <c r="K15" s="1006"/>
      <c r="L15" s="1007"/>
      <c r="M15" s="974">
        <f>362*1.07</f>
        <v>387.34000000000003</v>
      </c>
      <c r="N15" s="947"/>
      <c r="P15" s="948"/>
    </row>
    <row r="16" spans="1:20" s="946" customFormat="1" ht="21.75">
      <c r="A16" s="997"/>
      <c r="B16" s="998"/>
      <c r="C16" s="1000" t="s">
        <v>867</v>
      </c>
      <c r="D16" s="1024"/>
      <c r="E16" s="1018" t="s">
        <v>87</v>
      </c>
      <c r="F16" s="1004"/>
      <c r="G16" s="1005"/>
      <c r="H16" s="1005"/>
      <c r="I16" s="1005"/>
      <c r="J16" s="1005"/>
      <c r="K16" s="1006"/>
      <c r="L16" s="1007"/>
      <c r="M16" s="974">
        <f>452*1.07</f>
        <v>483.64000000000004</v>
      </c>
      <c r="N16" s="947"/>
      <c r="P16" s="948"/>
    </row>
    <row r="17" spans="1:16" s="946" customFormat="1" ht="21.75">
      <c r="A17" s="997"/>
      <c r="B17" s="998"/>
      <c r="C17" s="1000" t="s">
        <v>868</v>
      </c>
      <c r="D17" s="1024"/>
      <c r="E17" s="1018" t="s">
        <v>87</v>
      </c>
      <c r="F17" s="1004"/>
      <c r="G17" s="1005"/>
      <c r="H17" s="1005"/>
      <c r="I17" s="1005"/>
      <c r="J17" s="1005"/>
      <c r="K17" s="1006"/>
      <c r="L17" s="1007"/>
      <c r="M17" s="974">
        <f>558*1.07</f>
        <v>597.06000000000006</v>
      </c>
      <c r="N17" s="947"/>
      <c r="P17" s="948"/>
    </row>
    <row r="18" spans="1:16" s="946" customFormat="1" ht="21.75">
      <c r="A18" s="997"/>
      <c r="B18" s="998"/>
      <c r="C18" s="1000" t="s">
        <v>869</v>
      </c>
      <c r="D18" s="1024"/>
      <c r="E18" s="1018" t="s">
        <v>87</v>
      </c>
      <c r="F18" s="1004"/>
      <c r="G18" s="1005"/>
      <c r="H18" s="1005"/>
      <c r="I18" s="1005"/>
      <c r="J18" s="1005"/>
      <c r="K18" s="1006"/>
      <c r="L18" s="1007"/>
      <c r="M18" s="974">
        <f>150*1.07</f>
        <v>160.5</v>
      </c>
      <c r="N18" s="947"/>
      <c r="P18" s="948"/>
    </row>
    <row r="19" spans="1:16" s="946" customFormat="1" ht="21.75">
      <c r="A19" s="997"/>
      <c r="B19" s="998"/>
      <c r="C19" s="1000" t="s">
        <v>870</v>
      </c>
      <c r="D19" s="1024"/>
      <c r="E19" s="1018" t="s">
        <v>87</v>
      </c>
      <c r="F19" s="1004"/>
      <c r="G19" s="1005"/>
      <c r="H19" s="1005"/>
      <c r="I19" s="1005"/>
      <c r="J19" s="1005"/>
      <c r="K19" s="1006"/>
      <c r="L19" s="1007"/>
      <c r="M19" s="975"/>
      <c r="N19" s="947"/>
      <c r="P19" s="948"/>
    </row>
    <row r="20" spans="1:16" s="946" customFormat="1" ht="21.75">
      <c r="A20" s="997"/>
      <c r="B20" s="1021">
        <v>1.2</v>
      </c>
      <c r="C20" s="1022" t="s">
        <v>494</v>
      </c>
      <c r="D20" s="1024"/>
      <c r="E20" s="1018"/>
      <c r="F20" s="1004"/>
      <c r="G20" s="1005"/>
      <c r="H20" s="1005"/>
      <c r="I20" s="1005"/>
      <c r="J20" s="1005"/>
      <c r="K20" s="1006"/>
      <c r="L20" s="1007"/>
      <c r="M20" s="974"/>
      <c r="N20" s="947"/>
    </row>
    <row r="21" spans="1:16" s="946" customFormat="1" ht="21.75">
      <c r="A21" s="997"/>
      <c r="B21" s="998"/>
      <c r="C21" s="1000" t="s">
        <v>850</v>
      </c>
      <c r="D21" s="1024"/>
      <c r="E21" s="1018" t="s">
        <v>87</v>
      </c>
      <c r="F21" s="1004"/>
      <c r="G21" s="1005"/>
      <c r="H21" s="1005"/>
      <c r="I21" s="1005"/>
      <c r="J21" s="1005"/>
      <c r="K21" s="1006"/>
      <c r="L21" s="1007"/>
      <c r="M21" s="974">
        <f>445*1.07</f>
        <v>476.15000000000003</v>
      </c>
      <c r="N21" s="947"/>
    </row>
    <row r="22" spans="1:16" s="946" customFormat="1" ht="21.75">
      <c r="A22" s="997"/>
      <c r="B22" s="998"/>
      <c r="C22" s="1000" t="s">
        <v>871</v>
      </c>
      <c r="D22" s="1024"/>
      <c r="E22" s="1018" t="s">
        <v>87</v>
      </c>
      <c r="F22" s="1004"/>
      <c r="G22" s="1005"/>
      <c r="H22" s="1005"/>
      <c r="I22" s="1005"/>
      <c r="J22" s="1005"/>
      <c r="K22" s="1006"/>
      <c r="L22" s="1007"/>
      <c r="M22" s="974">
        <f>3330*1.07</f>
        <v>3563.1000000000004</v>
      </c>
      <c r="N22" s="947"/>
    </row>
    <row r="23" spans="1:16" s="946" customFormat="1" ht="21.75">
      <c r="A23" s="997"/>
      <c r="B23" s="998"/>
      <c r="C23" s="1000" t="s">
        <v>872</v>
      </c>
      <c r="D23" s="1024"/>
      <c r="E23" s="1018" t="s">
        <v>87</v>
      </c>
      <c r="F23" s="1004"/>
      <c r="G23" s="1005"/>
      <c r="H23" s="1005"/>
      <c r="I23" s="1005"/>
      <c r="J23" s="1005"/>
      <c r="K23" s="1006"/>
      <c r="L23" s="1007"/>
      <c r="M23" s="950"/>
      <c r="N23" s="947"/>
    </row>
    <row r="24" spans="1:16" s="946" customFormat="1" ht="24">
      <c r="A24" s="1008">
        <v>2</v>
      </c>
      <c r="B24" s="1009" t="s">
        <v>873</v>
      </c>
      <c r="C24" s="1010"/>
      <c r="D24" s="1011"/>
      <c r="E24" s="1019"/>
      <c r="F24" s="1012"/>
      <c r="G24" s="1013"/>
      <c r="H24" s="1014"/>
      <c r="I24" s="1014"/>
      <c r="J24" s="1014"/>
      <c r="K24" s="1015"/>
      <c r="L24" s="1016"/>
      <c r="M24" s="950"/>
      <c r="N24" s="947"/>
    </row>
    <row r="25" spans="1:16" s="946" customFormat="1" ht="21.75">
      <c r="A25" s="997"/>
      <c r="B25" s="998">
        <v>2.1</v>
      </c>
      <c r="C25" s="1000" t="s">
        <v>874</v>
      </c>
      <c r="D25" s="999"/>
      <c r="E25" s="1000"/>
      <c r="F25" s="1001"/>
      <c r="G25" s="1001"/>
      <c r="H25" s="1001"/>
      <c r="I25" s="1001"/>
      <c r="J25" s="1001"/>
      <c r="K25" s="1002"/>
      <c r="L25" s="1003"/>
      <c r="N25" s="947"/>
      <c r="P25" s="948"/>
    </row>
    <row r="26" spans="1:16" s="946" customFormat="1" ht="21.75">
      <c r="A26" s="997"/>
      <c r="B26" s="998"/>
      <c r="C26" s="1000" t="s">
        <v>875</v>
      </c>
      <c r="D26" s="1024"/>
      <c r="E26" s="1018" t="s">
        <v>185</v>
      </c>
      <c r="F26" s="1004"/>
      <c r="G26" s="1005"/>
      <c r="H26" s="1005"/>
      <c r="I26" s="1005"/>
      <c r="J26" s="1005"/>
      <c r="K26" s="1006"/>
      <c r="L26" s="1007"/>
      <c r="N26" s="947"/>
      <c r="P26" s="948"/>
    </row>
    <row r="27" spans="1:16" s="946" customFormat="1" ht="21.75">
      <c r="A27" s="997"/>
      <c r="B27" s="998"/>
      <c r="C27" s="1000" t="s">
        <v>863</v>
      </c>
      <c r="D27" s="1024"/>
      <c r="E27" s="1018" t="s">
        <v>864</v>
      </c>
      <c r="F27" s="1004"/>
      <c r="G27" s="1005"/>
      <c r="H27" s="1005"/>
      <c r="I27" s="1005"/>
      <c r="J27" s="1005"/>
      <c r="K27" s="1006"/>
      <c r="L27" s="1007"/>
      <c r="M27" s="950">
        <f>350*0.4*0.08</f>
        <v>11.200000000000001</v>
      </c>
      <c r="N27" s="947">
        <v>560</v>
      </c>
      <c r="P27" s="948"/>
    </row>
    <row r="28" spans="1:16" s="946" customFormat="1" ht="21.75">
      <c r="A28" s="997"/>
      <c r="B28" s="998"/>
      <c r="C28" s="1000" t="s">
        <v>876</v>
      </c>
      <c r="D28" s="1024"/>
      <c r="E28" s="1018" t="s">
        <v>185</v>
      </c>
      <c r="F28" s="1004"/>
      <c r="G28" s="1005"/>
      <c r="H28" s="1005"/>
      <c r="I28" s="1005"/>
      <c r="J28" s="1005"/>
      <c r="K28" s="1006"/>
      <c r="L28" s="1007"/>
      <c r="M28" s="974">
        <f>228*1.07</f>
        <v>243.96</v>
      </c>
      <c r="N28" s="947"/>
      <c r="P28" s="948"/>
    </row>
    <row r="29" spans="1:16" s="946" customFormat="1" ht="21.75">
      <c r="A29" s="997"/>
      <c r="B29" s="998"/>
      <c r="C29" s="1000" t="s">
        <v>866</v>
      </c>
      <c r="D29" s="1024"/>
      <c r="E29" s="1018" t="s">
        <v>87</v>
      </c>
      <c r="F29" s="1004"/>
      <c r="G29" s="1005"/>
      <c r="H29" s="1005"/>
      <c r="I29" s="1005"/>
      <c r="J29" s="1005"/>
      <c r="K29" s="1006"/>
      <c r="L29" s="1007"/>
      <c r="M29" s="974">
        <f>306*1.07</f>
        <v>327.42</v>
      </c>
      <c r="N29" s="947"/>
      <c r="P29" s="948"/>
    </row>
    <row r="30" spans="1:16" s="946" customFormat="1" ht="21.75">
      <c r="A30" s="997"/>
      <c r="B30" s="998"/>
      <c r="C30" s="1000" t="s">
        <v>877</v>
      </c>
      <c r="D30" s="1024"/>
      <c r="E30" s="1018" t="s">
        <v>87</v>
      </c>
      <c r="F30" s="1004"/>
      <c r="G30" s="1005"/>
      <c r="H30" s="1005"/>
      <c r="I30" s="1005"/>
      <c r="J30" s="1005"/>
      <c r="K30" s="1006"/>
      <c r="L30" s="1007"/>
      <c r="M30" s="974">
        <f>561*1.07</f>
        <v>600.27</v>
      </c>
      <c r="N30" s="947"/>
      <c r="P30" s="948"/>
    </row>
    <row r="31" spans="1:16" s="946" customFormat="1" ht="21.75">
      <c r="A31" s="997"/>
      <c r="B31" s="1021">
        <v>2.2000000000000002</v>
      </c>
      <c r="C31" s="1023" t="s">
        <v>878</v>
      </c>
      <c r="D31" s="999"/>
      <c r="E31" s="1018"/>
      <c r="F31" s="1004"/>
      <c r="G31" s="1005"/>
      <c r="H31" s="1005"/>
      <c r="I31" s="1005"/>
      <c r="J31" s="1005"/>
      <c r="K31" s="1006"/>
      <c r="L31" s="1007"/>
      <c r="M31" s="950"/>
      <c r="N31" s="947"/>
    </row>
    <row r="32" spans="1:16" s="946" customFormat="1" ht="21.75">
      <c r="A32" s="997"/>
      <c r="B32" s="998"/>
      <c r="C32" s="1000" t="s">
        <v>879</v>
      </c>
      <c r="D32" s="1024"/>
      <c r="E32" s="1018" t="s">
        <v>87</v>
      </c>
      <c r="F32" s="1004"/>
      <c r="G32" s="1005"/>
      <c r="H32" s="1005"/>
      <c r="I32" s="1005"/>
      <c r="J32" s="1005"/>
      <c r="K32" s="1006"/>
      <c r="L32" s="1007"/>
      <c r="M32" s="950"/>
      <c r="N32" s="947"/>
    </row>
    <row r="33" spans="1:14" s="946" customFormat="1" ht="21.75">
      <c r="A33" s="997"/>
      <c r="B33" s="1021">
        <v>2.2999999999999998</v>
      </c>
      <c r="C33" s="1023" t="s">
        <v>880</v>
      </c>
      <c r="D33" s="1024"/>
      <c r="E33" s="1018"/>
      <c r="F33" s="1004"/>
      <c r="G33" s="1005"/>
      <c r="H33" s="1005"/>
      <c r="I33" s="1005"/>
      <c r="J33" s="1005"/>
      <c r="K33" s="1006"/>
      <c r="L33" s="1007"/>
      <c r="M33" s="950"/>
      <c r="N33" s="947"/>
    </row>
    <row r="34" spans="1:14" s="946" customFormat="1" ht="44.25" customHeight="1">
      <c r="A34" s="997"/>
      <c r="B34" s="998" t="s">
        <v>502</v>
      </c>
      <c r="C34" s="1737" t="s">
        <v>881</v>
      </c>
      <c r="D34" s="1738"/>
      <c r="E34" s="1018" t="s">
        <v>240</v>
      </c>
      <c r="F34" s="1004"/>
      <c r="G34" s="1005"/>
      <c r="H34" s="1005"/>
      <c r="I34" s="1005"/>
      <c r="J34" s="1005"/>
      <c r="K34" s="1006"/>
      <c r="L34" s="1007"/>
      <c r="M34" s="950"/>
      <c r="N34" s="947"/>
    </row>
    <row r="35" spans="1:14" s="946" customFormat="1" ht="21.75">
      <c r="A35" s="997"/>
      <c r="B35" s="1021">
        <v>2.4</v>
      </c>
      <c r="C35" s="1023" t="s">
        <v>759</v>
      </c>
      <c r="D35" s="1024"/>
      <c r="E35" s="1018" t="s">
        <v>843</v>
      </c>
      <c r="F35" s="1004"/>
      <c r="G35" s="1005"/>
      <c r="H35" s="1005"/>
      <c r="I35" s="1005"/>
      <c r="J35" s="1005"/>
      <c r="K35" s="1006"/>
      <c r="L35" s="1007"/>
      <c r="M35" s="950"/>
      <c r="N35" s="947"/>
    </row>
    <row r="36" spans="1:14" s="946" customFormat="1" ht="22.5" thickBot="1">
      <c r="A36" s="955"/>
      <c r="B36" s="956"/>
      <c r="C36" s="957"/>
      <c r="D36" s="958"/>
      <c r="E36" s="1020"/>
      <c r="F36" s="959"/>
      <c r="G36" s="959"/>
      <c r="H36" s="979"/>
      <c r="I36" s="979"/>
      <c r="J36" s="979"/>
      <c r="K36" s="980"/>
      <c r="L36" s="981"/>
      <c r="M36" s="950"/>
      <c r="N36" s="947"/>
    </row>
    <row r="37" spans="1:14" s="984" customFormat="1" ht="19.5" thickBot="1">
      <c r="A37" s="1026"/>
      <c r="B37" s="982"/>
      <c r="C37" s="1027"/>
      <c r="D37" s="1028"/>
      <c r="E37" s="982"/>
      <c r="F37" s="982"/>
      <c r="G37" s="983" t="s">
        <v>105</v>
      </c>
      <c r="H37" s="1030">
        <f>SUM(H12:H36)</f>
        <v>0</v>
      </c>
      <c r="I37" s="1031"/>
      <c r="J37" s="1031">
        <f>SUM(J12:J36)</f>
        <v>0</v>
      </c>
      <c r="K37" s="1032"/>
      <c r="L37" s="1033">
        <f>SUM(L12:L36)</f>
        <v>0</v>
      </c>
      <c r="M37" s="1029"/>
    </row>
  </sheetData>
  <mergeCells count="14">
    <mergeCell ref="C34:D34"/>
    <mergeCell ref="I7:J7"/>
    <mergeCell ref="L7:L8"/>
    <mergeCell ref="M7:M9"/>
    <mergeCell ref="A1:L1"/>
    <mergeCell ref="A2:L2"/>
    <mergeCell ref="A3:L3"/>
    <mergeCell ref="T4:T5"/>
    <mergeCell ref="N6:T6"/>
    <mergeCell ref="A7:A9"/>
    <mergeCell ref="B7:D9"/>
    <mergeCell ref="E7:E9"/>
    <mergeCell ref="F7:F9"/>
    <mergeCell ref="G7:H7"/>
  </mergeCells>
  <printOptions horizontalCentered="1"/>
  <pageMargins left="0.6" right="0.2" top="0.5" bottom="0.5" header="0.3" footer="0.3"/>
  <pageSetup paperSize="9" scale="6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DDE7-5DB7-43EA-9D21-2ED6C78F0368}">
  <sheetPr>
    <tabColor rgb="FF92D050"/>
    <pageSetUpPr fitToPage="1"/>
  </sheetPr>
  <dimension ref="A1:W56"/>
  <sheetViews>
    <sheetView view="pageBreakPreview" topLeftCell="A37" zoomScale="85" zoomScaleNormal="70" zoomScaleSheetLayoutView="85" workbookViewId="0">
      <selection activeCell="F11" sqref="F11:F40"/>
    </sheetView>
  </sheetViews>
  <sheetFormatPr defaultColWidth="9.140625" defaultRowHeight="18.75" outlineLevelCol="1"/>
  <cols>
    <col min="1" max="1" width="10.85546875" style="549" customWidth="1"/>
    <col min="2" max="2" width="7.140625" style="549" customWidth="1"/>
    <col min="3" max="3" width="8" style="551" customWidth="1"/>
    <col min="4" max="4" width="43.28515625" style="954" customWidth="1"/>
    <col min="5" max="5" width="8.85546875" style="549" customWidth="1"/>
    <col min="6" max="6" width="14.5703125" style="984" bestFit="1" customWidth="1"/>
    <col min="7" max="7" width="15.28515625" style="984" customWidth="1" outlineLevel="1"/>
    <col min="8" max="8" width="20" style="549" customWidth="1" outlineLevel="1"/>
    <col min="9" max="9" width="15.28515625" style="984" customWidth="1" outlineLevel="1"/>
    <col min="10" max="11" width="17.5703125" style="549" customWidth="1" outlineLevel="1"/>
    <col min="12" max="12" width="21.5703125" style="985" customWidth="1"/>
    <col min="13" max="13" width="19.28515625" style="936" customWidth="1"/>
    <col min="14" max="14" width="12.140625" style="549" customWidth="1"/>
    <col min="15" max="15" width="9.140625" style="549"/>
    <col min="16" max="17" width="11.28515625" style="549" customWidth="1"/>
    <col min="18" max="18" width="14.28515625" style="549" customWidth="1"/>
    <col min="19" max="16384" width="9.140625" style="549"/>
  </cols>
  <sheetData>
    <row r="1" spans="1:21" ht="34.5" hidden="1" customHeight="1">
      <c r="A1" s="1742" t="s">
        <v>0</v>
      </c>
      <c r="B1" s="1743"/>
      <c r="C1" s="1743"/>
      <c r="D1" s="1743"/>
      <c r="E1" s="1743"/>
      <c r="F1" s="1743"/>
      <c r="G1" s="1743"/>
      <c r="H1" s="1743"/>
      <c r="I1" s="1743"/>
      <c r="J1" s="1743"/>
      <c r="K1" s="1743"/>
      <c r="L1" s="1744"/>
    </row>
    <row r="2" spans="1:21" s="10" customFormat="1" ht="38.25">
      <c r="A2" s="1663" t="s">
        <v>0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1664"/>
      <c r="M2" s="937"/>
      <c r="N2" s="151"/>
      <c r="O2" s="151"/>
    </row>
    <row r="3" spans="1:21" s="10" customFormat="1" ht="31.5">
      <c r="A3" s="1666" t="s">
        <v>106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7"/>
      <c r="M3" s="937"/>
      <c r="N3" s="151"/>
      <c r="O3" s="151"/>
    </row>
    <row r="4" spans="1:21" s="10" customFormat="1" ht="26.25" customHeight="1">
      <c r="A4" s="153" t="s">
        <v>1</v>
      </c>
      <c r="B4" s="89"/>
      <c r="C4" s="90"/>
      <c r="D4" s="89" t="s">
        <v>559</v>
      </c>
      <c r="E4" s="91"/>
      <c r="F4" s="92"/>
      <c r="G4" s="92"/>
      <c r="H4" s="91"/>
      <c r="I4" s="154" t="s">
        <v>108</v>
      </c>
      <c r="J4" s="98"/>
      <c r="K4" s="675"/>
      <c r="L4" s="1113"/>
      <c r="M4" s="937"/>
      <c r="N4" s="151"/>
      <c r="O4" s="151"/>
      <c r="U4" s="1716"/>
    </row>
    <row r="5" spans="1:21" s="10" customFormat="1" ht="27" customHeight="1">
      <c r="A5" s="155" t="s">
        <v>109</v>
      </c>
      <c r="B5" s="94"/>
      <c r="C5" s="95"/>
      <c r="D5" s="89" t="s">
        <v>882</v>
      </c>
      <c r="E5" s="96"/>
      <c r="F5" s="97"/>
      <c r="G5" s="97"/>
      <c r="H5" s="96"/>
      <c r="I5" s="154" t="s">
        <v>111</v>
      </c>
      <c r="J5" s="98"/>
      <c r="K5" s="675"/>
      <c r="L5" s="1113"/>
      <c r="M5" s="937"/>
      <c r="N5" s="151"/>
      <c r="O5" s="151"/>
      <c r="U5" s="1716"/>
    </row>
    <row r="6" spans="1:21" s="10" customFormat="1" ht="27" thickBot="1">
      <c r="A6" s="156" t="s">
        <v>3</v>
      </c>
      <c r="B6" s="101"/>
      <c r="C6" s="102"/>
      <c r="D6" s="101" t="s">
        <v>883</v>
      </c>
      <c r="E6" s="103"/>
      <c r="F6" s="104"/>
      <c r="G6" s="104"/>
      <c r="H6" s="103"/>
      <c r="I6" s="157" t="s">
        <v>113</v>
      </c>
      <c r="J6" s="158"/>
      <c r="K6" s="676"/>
      <c r="L6" s="1114"/>
      <c r="M6" s="937"/>
      <c r="N6" s="1717"/>
      <c r="O6" s="1717"/>
      <c r="P6" s="1717"/>
      <c r="Q6" s="1717"/>
      <c r="R6" s="1717"/>
      <c r="S6" s="1717"/>
      <c r="T6" s="1717"/>
      <c r="U6" s="1717"/>
    </row>
    <row r="7" spans="1:21" s="942" customFormat="1" ht="23.25">
      <c r="A7" s="1718" t="s">
        <v>6</v>
      </c>
      <c r="B7" s="1721" t="s">
        <v>7</v>
      </c>
      <c r="C7" s="1722"/>
      <c r="D7" s="1723"/>
      <c r="E7" s="1730" t="s">
        <v>9</v>
      </c>
      <c r="F7" s="1733" t="s">
        <v>8</v>
      </c>
      <c r="G7" s="1736" t="s">
        <v>10</v>
      </c>
      <c r="H7" s="1736"/>
      <c r="I7" s="1736" t="s">
        <v>11</v>
      </c>
      <c r="J7" s="1736"/>
      <c r="K7" s="1115"/>
      <c r="L7" s="1747" t="s">
        <v>13</v>
      </c>
      <c r="M7" s="1741"/>
      <c r="N7" s="941"/>
    </row>
    <row r="8" spans="1:21" s="942" customFormat="1" ht="23.25">
      <c r="A8" s="1719"/>
      <c r="B8" s="1724"/>
      <c r="C8" s="1725"/>
      <c r="D8" s="1726"/>
      <c r="E8" s="1731"/>
      <c r="F8" s="1734"/>
      <c r="G8" s="962" t="s">
        <v>9</v>
      </c>
      <c r="H8" s="963" t="s">
        <v>13</v>
      </c>
      <c r="I8" s="962" t="s">
        <v>9</v>
      </c>
      <c r="J8" s="963" t="s">
        <v>13</v>
      </c>
      <c r="K8" s="1116" t="s">
        <v>12</v>
      </c>
      <c r="L8" s="1748"/>
      <c r="M8" s="1741"/>
      <c r="N8" s="941"/>
    </row>
    <row r="9" spans="1:21" s="942" customFormat="1" ht="24" thickBot="1">
      <c r="A9" s="1720"/>
      <c r="B9" s="1727"/>
      <c r="C9" s="1728"/>
      <c r="D9" s="1729"/>
      <c r="E9" s="1732"/>
      <c r="F9" s="1735"/>
      <c r="G9" s="965" t="s">
        <v>115</v>
      </c>
      <c r="H9" s="966" t="s">
        <v>14</v>
      </c>
      <c r="I9" s="965" t="s">
        <v>115</v>
      </c>
      <c r="J9" s="966" t="s">
        <v>14</v>
      </c>
      <c r="K9" s="966" t="s">
        <v>14</v>
      </c>
      <c r="L9" s="966" t="s">
        <v>14</v>
      </c>
      <c r="M9" s="1741"/>
      <c r="N9" s="941"/>
    </row>
    <row r="10" spans="1:21" s="1106" customFormat="1" ht="24">
      <c r="A10" s="968">
        <v>1</v>
      </c>
      <c r="B10" s="1205" t="str">
        <f>D4</f>
        <v>Construction Hongsa power Accommodation</v>
      </c>
      <c r="C10" s="938"/>
      <c r="D10" s="939"/>
      <c r="E10" s="969"/>
      <c r="F10" s="987"/>
      <c r="G10" s="1249"/>
      <c r="H10" s="1115"/>
      <c r="I10" s="1249"/>
      <c r="J10" s="1115"/>
      <c r="K10" s="960"/>
      <c r="L10" s="961"/>
      <c r="M10" s="1109"/>
      <c r="N10" s="1105"/>
    </row>
    <row r="11" spans="1:21" s="946" customFormat="1" ht="21" customHeight="1">
      <c r="A11" s="1201"/>
      <c r="B11" s="944">
        <v>1.1000000000000001</v>
      </c>
      <c r="C11" s="1092" t="s">
        <v>884</v>
      </c>
      <c r="D11" s="945"/>
      <c r="E11" s="949" t="s">
        <v>185</v>
      </c>
      <c r="F11" s="924"/>
      <c r="G11" s="971"/>
      <c r="H11" s="971"/>
      <c r="I11" s="971"/>
      <c r="J11" s="971"/>
      <c r="K11" s="972"/>
      <c r="L11" s="705"/>
      <c r="M11" s="161"/>
      <c r="N11" s="941"/>
      <c r="O11" s="160"/>
      <c r="P11" s="1250"/>
      <c r="Q11" s="1250"/>
    </row>
    <row r="12" spans="1:21" s="946" customFormat="1" ht="21" customHeight="1">
      <c r="A12" s="1201"/>
      <c r="B12" s="944">
        <v>1.2</v>
      </c>
      <c r="C12" s="1092" t="s">
        <v>885</v>
      </c>
      <c r="D12" s="945"/>
      <c r="E12" s="949" t="s">
        <v>185</v>
      </c>
      <c r="F12" s="924"/>
      <c r="G12" s="971"/>
      <c r="H12" s="971"/>
      <c r="I12" s="971"/>
      <c r="J12" s="971"/>
      <c r="K12" s="972"/>
      <c r="L12" s="705"/>
      <c r="M12" s="161"/>
      <c r="N12" s="941"/>
      <c r="O12" s="160"/>
      <c r="P12" s="1250"/>
      <c r="Q12" s="1250"/>
    </row>
    <row r="13" spans="1:21" s="946" customFormat="1" ht="21" customHeight="1">
      <c r="A13" s="1201"/>
      <c r="B13" s="944">
        <v>1.3</v>
      </c>
      <c r="C13" s="1092" t="s">
        <v>886</v>
      </c>
      <c r="D13" s="945"/>
      <c r="E13" s="949" t="s">
        <v>185</v>
      </c>
      <c r="F13" s="924"/>
      <c r="G13" s="971"/>
      <c r="H13" s="971"/>
      <c r="I13" s="971"/>
      <c r="J13" s="971"/>
      <c r="K13" s="972"/>
      <c r="L13" s="705"/>
      <c r="M13" s="161"/>
      <c r="N13" s="941"/>
      <c r="O13" s="160"/>
      <c r="P13" s="1250"/>
      <c r="Q13" s="1250"/>
    </row>
    <row r="14" spans="1:21" s="946" customFormat="1" ht="21" customHeight="1">
      <c r="A14" s="1201"/>
      <c r="B14" s="944">
        <v>1.4</v>
      </c>
      <c r="C14" s="1092" t="s">
        <v>887</v>
      </c>
      <c r="D14" s="945"/>
      <c r="E14" s="949" t="s">
        <v>888</v>
      </c>
      <c r="F14" s="924"/>
      <c r="G14" s="971"/>
      <c r="H14" s="971"/>
      <c r="I14" s="971"/>
      <c r="J14" s="971"/>
      <c r="K14" s="972"/>
      <c r="L14" s="705"/>
      <c r="M14" s="161"/>
      <c r="N14" s="941"/>
      <c r="O14" s="160"/>
      <c r="P14" s="1250"/>
      <c r="Q14" s="1250"/>
    </row>
    <row r="15" spans="1:21" s="946" customFormat="1" ht="21" customHeight="1">
      <c r="A15" s="1201"/>
      <c r="B15" s="944">
        <v>1.5</v>
      </c>
      <c r="C15" s="1092" t="s">
        <v>889</v>
      </c>
      <c r="D15" s="945"/>
      <c r="E15" s="949" t="s">
        <v>240</v>
      </c>
      <c r="F15" s="600"/>
      <c r="G15" s="971"/>
      <c r="H15" s="971"/>
      <c r="I15" s="971"/>
      <c r="J15" s="971"/>
      <c r="K15" s="972"/>
      <c r="L15" s="705"/>
      <c r="M15" s="182"/>
      <c r="N15" s="941"/>
      <c r="O15" s="160"/>
      <c r="P15" s="1250"/>
      <c r="Q15" s="1250"/>
    </row>
    <row r="16" spans="1:21" s="946" customFormat="1" ht="21" customHeight="1">
      <c r="A16" s="943"/>
      <c r="B16" s="1202"/>
      <c r="C16" s="1092" t="s">
        <v>890</v>
      </c>
      <c r="D16" s="945"/>
      <c r="E16" s="949"/>
      <c r="F16" s="970"/>
      <c r="G16" s="949"/>
      <c r="H16" s="971"/>
      <c r="I16" s="971"/>
      <c r="J16" s="971"/>
      <c r="K16" s="972"/>
      <c r="L16" s="973"/>
      <c r="M16" s="950"/>
      <c r="N16" s="947"/>
      <c r="Q16" s="948"/>
    </row>
    <row r="17" spans="1:17" s="946" customFormat="1" ht="21" customHeight="1">
      <c r="A17" s="943"/>
      <c r="B17" s="1202"/>
      <c r="C17" s="1092"/>
      <c r="D17" s="945"/>
      <c r="E17" s="970"/>
      <c r="F17" s="970"/>
      <c r="G17" s="970"/>
      <c r="H17" s="971"/>
      <c r="I17" s="971"/>
      <c r="J17" s="971"/>
      <c r="K17" s="972"/>
      <c r="L17" s="973"/>
      <c r="M17" s="950"/>
      <c r="N17" s="947"/>
      <c r="Q17" s="948"/>
    </row>
    <row r="18" spans="1:17" s="1240" customFormat="1" ht="21" customHeight="1">
      <c r="A18" s="1234">
        <v>2</v>
      </c>
      <c r="B18" s="1110" t="s">
        <v>891</v>
      </c>
      <c r="C18" s="1235"/>
      <c r="D18" s="1236"/>
      <c r="E18" s="1237"/>
      <c r="F18" s="1237"/>
      <c r="G18" s="1237"/>
      <c r="H18" s="1237"/>
      <c r="I18" s="1237"/>
      <c r="J18" s="1237"/>
      <c r="K18" s="1251"/>
      <c r="L18" s="1252"/>
      <c r="M18" s="1238"/>
      <c r="N18" s="1239"/>
      <c r="Q18" s="1241"/>
    </row>
    <row r="19" spans="1:17" s="1232" customFormat="1" ht="21" customHeight="1">
      <c r="A19" s="1227"/>
      <c r="B19" s="1225">
        <v>2.1</v>
      </c>
      <c r="C19" s="1092" t="s">
        <v>892</v>
      </c>
      <c r="D19" s="1228"/>
      <c r="E19" s="1229"/>
      <c r="F19" s="1229"/>
      <c r="G19" s="1229"/>
      <c r="H19" s="1229"/>
      <c r="I19" s="1229"/>
      <c r="J19" s="1229"/>
      <c r="K19" s="1253"/>
      <c r="L19" s="1254"/>
      <c r="M19" s="1230"/>
      <c r="N19" s="1231"/>
      <c r="Q19" s="1233"/>
    </row>
    <row r="20" spans="1:17" s="1232" customFormat="1" ht="21" customHeight="1">
      <c r="A20" s="1227"/>
      <c r="B20" s="1202" t="s">
        <v>893</v>
      </c>
      <c r="C20" s="1092"/>
      <c r="D20" s="1228"/>
      <c r="E20" s="1226" t="s">
        <v>185</v>
      </c>
      <c r="F20" s="1521"/>
      <c r="G20" s="1229"/>
      <c r="H20" s="971"/>
      <c r="I20" s="1229"/>
      <c r="J20" s="971"/>
      <c r="K20" s="972"/>
      <c r="L20" s="705"/>
      <c r="M20" s="1230"/>
      <c r="N20" s="1231"/>
      <c r="Q20" s="1233"/>
    </row>
    <row r="21" spans="1:17" s="1247" customFormat="1" ht="43.5" customHeight="1">
      <c r="A21" s="1242"/>
      <c r="B21" s="1202"/>
      <c r="C21" s="1745" t="s">
        <v>894</v>
      </c>
      <c r="D21" s="1746"/>
      <c r="E21" s="1244"/>
      <c r="F21" s="1522"/>
      <c r="G21" s="1244"/>
      <c r="H21" s="1244"/>
      <c r="I21" s="1244"/>
      <c r="J21" s="1244"/>
      <c r="K21" s="1255"/>
      <c r="L21" s="1256"/>
      <c r="M21" s="1245"/>
      <c r="N21" s="1246"/>
      <c r="Q21" s="1248"/>
    </row>
    <row r="22" spans="1:17" s="1247" customFormat="1" ht="21" customHeight="1">
      <c r="A22" s="1242"/>
      <c r="B22" s="1202"/>
      <c r="C22" s="1092" t="s">
        <v>895</v>
      </c>
      <c r="D22" s="1243"/>
      <c r="E22" s="1244"/>
      <c r="F22" s="1522"/>
      <c r="G22" s="1244"/>
      <c r="H22" s="1244"/>
      <c r="I22" s="1244"/>
      <c r="J22" s="1244"/>
      <c r="K22" s="1255"/>
      <c r="L22" s="1256"/>
      <c r="M22" s="1245"/>
      <c r="N22" s="1246"/>
      <c r="Q22" s="1248"/>
    </row>
    <row r="23" spans="1:17" s="1247" customFormat="1" ht="21" customHeight="1">
      <c r="A23" s="1242"/>
      <c r="B23" s="1202"/>
      <c r="C23" s="1092" t="s">
        <v>896</v>
      </c>
      <c r="D23" s="1243"/>
      <c r="E23" s="1244"/>
      <c r="F23" s="1522"/>
      <c r="G23" s="1244"/>
      <c r="H23" s="1244"/>
      <c r="I23" s="1244"/>
      <c r="J23" s="1244"/>
      <c r="K23" s="1255"/>
      <c r="L23" s="1256"/>
      <c r="M23" s="1245"/>
      <c r="N23" s="1246"/>
      <c r="Q23" s="1248"/>
    </row>
    <row r="24" spans="1:17" s="1247" customFormat="1" ht="21" customHeight="1">
      <c r="A24" s="1242"/>
      <c r="B24" s="1202"/>
      <c r="C24" s="1092" t="s">
        <v>897</v>
      </c>
      <c r="D24" s="1243"/>
      <c r="E24" s="1244"/>
      <c r="F24" s="1522"/>
      <c r="G24" s="1244"/>
      <c r="H24" s="1244"/>
      <c r="I24" s="1244"/>
      <c r="J24" s="1244"/>
      <c r="K24" s="1255"/>
      <c r="L24" s="1256"/>
      <c r="M24" s="1245"/>
      <c r="N24" s="1246"/>
      <c r="Q24" s="1248"/>
    </row>
    <row r="25" spans="1:17" s="1247" customFormat="1" ht="21" customHeight="1">
      <c r="A25" s="1242"/>
      <c r="B25" s="1202"/>
      <c r="C25" s="1092" t="s">
        <v>898</v>
      </c>
      <c r="D25" s="1243"/>
      <c r="E25" s="1244"/>
      <c r="F25" s="1522"/>
      <c r="G25" s="1244"/>
      <c r="H25" s="1244"/>
      <c r="I25" s="1244"/>
      <c r="J25" s="1244"/>
      <c r="K25" s="1255"/>
      <c r="L25" s="1256"/>
      <c r="M25" s="1245"/>
      <c r="N25" s="1246"/>
      <c r="Q25" s="1248"/>
    </row>
    <row r="26" spans="1:17" s="1232" customFormat="1" ht="21" customHeight="1">
      <c r="A26" s="1227"/>
      <c r="B26" s="1225">
        <v>2.2000000000000002</v>
      </c>
      <c r="C26" s="1092" t="s">
        <v>899</v>
      </c>
      <c r="D26" s="1228"/>
      <c r="E26" s="1226" t="s">
        <v>185</v>
      </c>
      <c r="F26" s="1521"/>
      <c r="G26" s="1229"/>
      <c r="H26" s="971"/>
      <c r="I26" s="1229"/>
      <c r="J26" s="971"/>
      <c r="K26" s="972"/>
      <c r="L26" s="705"/>
      <c r="M26" s="1230"/>
      <c r="N26" s="1231"/>
      <c r="Q26" s="1233"/>
    </row>
    <row r="27" spans="1:17" s="1232" customFormat="1" ht="21" customHeight="1">
      <c r="A27" s="1227"/>
      <c r="B27" s="1202"/>
      <c r="C27" s="1092" t="s">
        <v>900</v>
      </c>
      <c r="D27" s="1228"/>
      <c r="E27" s="1226"/>
      <c r="F27" s="1521"/>
      <c r="G27" s="1229"/>
      <c r="H27" s="971"/>
      <c r="I27" s="1229"/>
      <c r="J27" s="971"/>
      <c r="K27" s="972"/>
      <c r="L27" s="705"/>
      <c r="M27" s="1230"/>
      <c r="N27" s="1231"/>
      <c r="Q27" s="1233"/>
    </row>
    <row r="28" spans="1:17" s="1247" customFormat="1" ht="21" customHeight="1">
      <c r="A28" s="1242"/>
      <c r="B28" s="1202"/>
      <c r="C28" s="1092" t="s">
        <v>901</v>
      </c>
      <c r="D28" s="1243"/>
      <c r="E28" s="1244"/>
      <c r="F28" s="1522"/>
      <c r="G28" s="1244"/>
      <c r="H28" s="1244"/>
      <c r="I28" s="1244"/>
      <c r="J28" s="1244"/>
      <c r="K28" s="1255"/>
      <c r="L28" s="1256"/>
      <c r="M28" s="1245"/>
      <c r="N28" s="1246"/>
      <c r="Q28" s="1248"/>
    </row>
    <row r="29" spans="1:17" s="1247" customFormat="1" ht="21" customHeight="1">
      <c r="A29" s="1242"/>
      <c r="B29" s="1202">
        <v>2.2999999999999998</v>
      </c>
      <c r="C29" s="1092" t="s">
        <v>902</v>
      </c>
      <c r="D29" s="1243"/>
      <c r="E29" s="1226" t="s">
        <v>185</v>
      </c>
      <c r="F29" s="1522"/>
      <c r="G29" s="1244"/>
      <c r="H29" s="1244"/>
      <c r="I29" s="1244"/>
      <c r="J29" s="1244"/>
      <c r="K29" s="1255"/>
      <c r="L29" s="1256"/>
      <c r="M29" s="1245"/>
      <c r="N29" s="1246"/>
      <c r="Q29" s="1248"/>
    </row>
    <row r="30" spans="1:17" s="1247" customFormat="1" ht="21" customHeight="1">
      <c r="A30" s="1242"/>
      <c r="B30" s="1202">
        <v>2.4</v>
      </c>
      <c r="C30" s="1092" t="s">
        <v>903</v>
      </c>
      <c r="D30" s="1243"/>
      <c r="E30" s="970" t="s">
        <v>904</v>
      </c>
      <c r="F30" s="1522"/>
      <c r="G30" s="1244"/>
      <c r="H30" s="1244"/>
      <c r="I30" s="1244"/>
      <c r="J30" s="1244"/>
      <c r="K30" s="1255"/>
      <c r="L30" s="1256"/>
      <c r="M30" s="1245"/>
      <c r="N30" s="1246"/>
      <c r="Q30" s="1248"/>
    </row>
    <row r="31" spans="1:17" s="1247" customFormat="1" ht="21" customHeight="1">
      <c r="A31" s="1242"/>
      <c r="B31" s="1202"/>
      <c r="C31" s="1092"/>
      <c r="D31" s="1243"/>
      <c r="E31" s="1244"/>
      <c r="F31" s="1244"/>
      <c r="G31" s="1244"/>
      <c r="H31" s="1244"/>
      <c r="I31" s="1244"/>
      <c r="J31" s="1244"/>
      <c r="K31" s="1255"/>
      <c r="L31" s="1256"/>
      <c r="M31" s="1245"/>
      <c r="N31" s="1246"/>
      <c r="Q31" s="1248"/>
    </row>
    <row r="32" spans="1:17" s="1312" customFormat="1" ht="21" customHeight="1">
      <c r="A32" s="1307">
        <v>3</v>
      </c>
      <c r="B32" s="1308" t="s">
        <v>905</v>
      </c>
      <c r="C32" s="1309"/>
      <c r="D32" s="999"/>
      <c r="E32" s="1004"/>
      <c r="F32" s="1004"/>
      <c r="G32" s="1004"/>
      <c r="H32" s="1005"/>
      <c r="I32" s="1005"/>
      <c r="J32" s="1005"/>
      <c r="K32" s="1006"/>
      <c r="L32" s="1007"/>
      <c r="M32" s="1310"/>
      <c r="N32" s="1311"/>
      <c r="Q32" s="1313"/>
    </row>
    <row r="33" spans="1:20" s="1312" customFormat="1" ht="42.75" customHeight="1">
      <c r="A33" s="997"/>
      <c r="B33" s="1314" t="s">
        <v>724</v>
      </c>
      <c r="C33" s="1737" t="s">
        <v>906</v>
      </c>
      <c r="D33" s="1738"/>
      <c r="E33" s="1004" t="s">
        <v>97</v>
      </c>
      <c r="F33" s="1004"/>
      <c r="G33" s="1004"/>
      <c r="H33" s="1005"/>
      <c r="I33" s="1005"/>
      <c r="J33" s="1005"/>
      <c r="K33" s="1006"/>
      <c r="L33" s="755"/>
      <c r="M33" s="1310"/>
      <c r="N33" s="1311"/>
      <c r="Q33" s="1313"/>
    </row>
    <row r="34" spans="1:20" s="1312" customFormat="1" ht="21.75">
      <c r="A34" s="997"/>
      <c r="B34" s="1314" t="s">
        <v>724</v>
      </c>
      <c r="C34" s="1737" t="s">
        <v>907</v>
      </c>
      <c r="D34" s="1738"/>
      <c r="E34" s="1004" t="s">
        <v>864</v>
      </c>
      <c r="F34" s="1004"/>
      <c r="G34" s="1004"/>
      <c r="H34" s="1005"/>
      <c r="I34" s="1005"/>
      <c r="J34" s="1005"/>
      <c r="K34" s="1006"/>
      <c r="L34" s="755"/>
      <c r="M34" s="1310"/>
      <c r="N34" s="1311"/>
      <c r="Q34" s="1313"/>
    </row>
    <row r="35" spans="1:20" s="1312" customFormat="1" ht="21.75">
      <c r="A35" s="997"/>
      <c r="B35" s="1314" t="s">
        <v>724</v>
      </c>
      <c r="C35" s="1737" t="s">
        <v>908</v>
      </c>
      <c r="D35" s="1738"/>
      <c r="E35" s="1004" t="s">
        <v>864</v>
      </c>
      <c r="F35" s="1004"/>
      <c r="G35" s="1004"/>
      <c r="H35" s="1005"/>
      <c r="I35" s="1005"/>
      <c r="J35" s="1005"/>
      <c r="K35" s="1006"/>
      <c r="L35" s="755"/>
      <c r="M35" s="1310"/>
      <c r="N35" s="1311"/>
      <c r="Q35" s="1313"/>
    </row>
    <row r="36" spans="1:20" s="1312" customFormat="1" ht="41.25" customHeight="1">
      <c r="A36" s="997"/>
      <c r="B36" s="1314" t="s">
        <v>724</v>
      </c>
      <c r="C36" s="1737" t="s">
        <v>909</v>
      </c>
      <c r="D36" s="1738"/>
      <c r="E36" s="1004" t="s">
        <v>864</v>
      </c>
      <c r="F36" s="1004"/>
      <c r="G36" s="1004"/>
      <c r="H36" s="1005"/>
      <c r="I36" s="1005"/>
      <c r="J36" s="1005"/>
      <c r="K36" s="1006"/>
      <c r="L36" s="755"/>
      <c r="M36" s="1310"/>
      <c r="N36" s="1311"/>
      <c r="Q36" s="1313"/>
    </row>
    <row r="37" spans="1:20" s="1312" customFormat="1" ht="47.25" customHeight="1">
      <c r="A37" s="997"/>
      <c r="B37" s="1314" t="s">
        <v>724</v>
      </c>
      <c r="C37" s="1737" t="s">
        <v>910</v>
      </c>
      <c r="D37" s="1738"/>
      <c r="E37" s="1004" t="s">
        <v>864</v>
      </c>
      <c r="F37" s="1004"/>
      <c r="G37" s="1004"/>
      <c r="H37" s="1005"/>
      <c r="I37" s="1005"/>
      <c r="J37" s="1005"/>
      <c r="K37" s="1006"/>
      <c r="L37" s="755"/>
      <c r="M37" s="1310"/>
      <c r="N37" s="1311"/>
      <c r="Q37" s="1313"/>
    </row>
    <row r="38" spans="1:20" s="1312" customFormat="1" ht="21" customHeight="1">
      <c r="A38" s="997"/>
      <c r="B38" s="1314" t="s">
        <v>724</v>
      </c>
      <c r="C38" s="1737" t="s">
        <v>911</v>
      </c>
      <c r="D38" s="1738"/>
      <c r="E38" s="1004" t="s">
        <v>97</v>
      </c>
      <c r="F38" s="1004"/>
      <c r="G38" s="1004"/>
      <c r="H38" s="1005"/>
      <c r="I38" s="1005"/>
      <c r="J38" s="1005"/>
      <c r="K38" s="1006"/>
      <c r="L38" s="755"/>
      <c r="M38" s="1310"/>
      <c r="N38" s="1311"/>
      <c r="Q38" s="1313"/>
    </row>
    <row r="39" spans="1:20" s="1312" customFormat="1" ht="21" customHeight="1">
      <c r="A39" s="997"/>
      <c r="B39" s="1314" t="s">
        <v>724</v>
      </c>
      <c r="C39" s="1737" t="s">
        <v>912</v>
      </c>
      <c r="D39" s="1738"/>
      <c r="E39" s="1004" t="s">
        <v>97</v>
      </c>
      <c r="F39" s="1004"/>
      <c r="G39" s="1004"/>
      <c r="H39" s="1005"/>
      <c r="I39" s="1005"/>
      <c r="J39" s="1005"/>
      <c r="K39" s="1006"/>
      <c r="L39" s="755"/>
      <c r="M39" s="1315"/>
      <c r="N39" s="1311"/>
      <c r="Q39" s="1313"/>
    </row>
    <row r="40" spans="1:20" s="946" customFormat="1" ht="21" customHeight="1">
      <c r="A40" s="943"/>
      <c r="B40" s="1314" t="s">
        <v>724</v>
      </c>
      <c r="C40" s="1092" t="s">
        <v>913</v>
      </c>
      <c r="D40" s="945"/>
      <c r="E40" s="970" t="s">
        <v>914</v>
      </c>
      <c r="F40" s="970"/>
      <c r="G40" s="970"/>
      <c r="H40" s="1005"/>
      <c r="I40" s="971"/>
      <c r="J40" s="1005"/>
      <c r="K40" s="1006"/>
      <c r="L40" s="755"/>
      <c r="M40" s="950"/>
      <c r="N40" s="947"/>
      <c r="Q40" s="948"/>
    </row>
    <row r="41" spans="1:20" s="10" customFormat="1" ht="21" customHeight="1" thickBot="1">
      <c r="A41" s="1219"/>
      <c r="B41" s="1222"/>
      <c r="C41" s="1223"/>
      <c r="D41" s="1224"/>
      <c r="E41" s="1221"/>
      <c r="F41" s="1220"/>
      <c r="G41" s="1257"/>
      <c r="H41" s="1136"/>
      <c r="I41" s="1258"/>
      <c r="J41" s="1259"/>
      <c r="K41" s="1260"/>
      <c r="L41" s="1261"/>
      <c r="M41" s="1262"/>
      <c r="N41" s="1263"/>
      <c r="O41" s="947"/>
      <c r="P41" s="947"/>
      <c r="Q41" s="1264"/>
      <c r="R41" s="947"/>
      <c r="S41" s="1265"/>
      <c r="T41" s="1266"/>
    </row>
    <row r="42" spans="1:20" s="1097" customFormat="1" ht="21" customHeight="1" thickBot="1">
      <c r="A42" s="1142"/>
      <c r="B42" s="1143"/>
      <c r="C42" s="1098"/>
      <c r="D42" s="1102"/>
      <c r="E42" s="1749" t="s">
        <v>915</v>
      </c>
      <c r="F42" s="1750"/>
      <c r="G42" s="1751"/>
      <c r="H42" s="1269">
        <f>SUM(H11:H41)</f>
        <v>0</v>
      </c>
      <c r="I42" s="1270"/>
      <c r="J42" s="1147">
        <f>SUM(J11:J41)</f>
        <v>0</v>
      </c>
      <c r="K42" s="1271"/>
      <c r="L42" s="1272">
        <f t="shared" ref="L42" si="0">H42+J42</f>
        <v>0</v>
      </c>
      <c r="M42" s="1273"/>
      <c r="N42" s="1274"/>
      <c r="O42" s="1150"/>
      <c r="P42" s="1150"/>
      <c r="Q42" s="1149"/>
      <c r="R42" s="1150"/>
      <c r="S42" s="1151"/>
      <c r="T42" s="1152"/>
    </row>
    <row r="43" spans="1:20" s="946" customFormat="1" ht="32.25" customHeight="1">
      <c r="A43" s="951"/>
      <c r="B43" s="951"/>
      <c r="C43" s="951"/>
      <c r="D43" s="951"/>
      <c r="E43" s="951"/>
      <c r="F43" s="951"/>
      <c r="G43" s="951"/>
      <c r="H43" s="951"/>
      <c r="I43" s="951"/>
      <c r="J43" s="951"/>
      <c r="K43" s="951"/>
      <c r="L43" s="1153"/>
      <c r="M43" s="952"/>
      <c r="N43" s="953"/>
      <c r="Q43" s="1155"/>
    </row>
    <row r="44" spans="1:20" s="946" customFormat="1" ht="32.25" customHeight="1">
      <c r="A44" s="951"/>
      <c r="B44" s="951"/>
      <c r="C44" s="951"/>
      <c r="D44" s="951"/>
      <c r="E44" s="951"/>
      <c r="F44" s="951"/>
      <c r="G44" s="951"/>
      <c r="H44" s="951"/>
      <c r="I44" s="951"/>
      <c r="J44" s="951"/>
      <c r="K44" s="951"/>
      <c r="L44" s="1153"/>
      <c r="M44" s="952"/>
      <c r="N44" s="953"/>
    </row>
    <row r="45" spans="1:20" s="946" customFormat="1" ht="21.75">
      <c r="C45" s="942"/>
      <c r="D45" s="1093"/>
      <c r="F45" s="1267"/>
      <c r="G45" s="1154"/>
      <c r="I45" s="1154"/>
      <c r="L45" s="1155"/>
      <c r="M45" s="1203"/>
    </row>
    <row r="46" spans="1:20" s="946" customFormat="1" ht="21.75">
      <c r="C46" s="942"/>
      <c r="D46" s="1093"/>
      <c r="F46" s="1267"/>
      <c r="G46" s="1154"/>
      <c r="I46" s="1154"/>
      <c r="L46" s="1155"/>
      <c r="M46" s="1203"/>
    </row>
    <row r="47" spans="1:20" s="946" customFormat="1" ht="21.75">
      <c r="C47" s="942"/>
      <c r="D47" s="1093"/>
      <c r="F47" s="1267"/>
      <c r="G47" s="1154"/>
      <c r="I47" s="1154"/>
      <c r="L47" s="1155"/>
      <c r="M47" s="1203"/>
      <c r="Q47" s="1204"/>
    </row>
    <row r="48" spans="1:20">
      <c r="F48" s="1268"/>
    </row>
    <row r="49" spans="1:23">
      <c r="F49" s="1268"/>
    </row>
    <row r="50" spans="1:23">
      <c r="F50" s="1268"/>
    </row>
    <row r="51" spans="1:23">
      <c r="F51" s="1268"/>
    </row>
    <row r="52" spans="1:23">
      <c r="F52" s="1268"/>
    </row>
    <row r="53" spans="1:23">
      <c r="F53" s="1268"/>
    </row>
    <row r="54" spans="1:23">
      <c r="F54" s="1268"/>
    </row>
    <row r="55" spans="1:23" s="984" customFormat="1">
      <c r="A55" s="549"/>
      <c r="B55" s="549"/>
      <c r="C55" s="551"/>
      <c r="D55" s="954"/>
      <c r="E55" s="549"/>
      <c r="F55" s="1268"/>
      <c r="H55" s="549"/>
      <c r="J55" s="549"/>
      <c r="K55" s="549"/>
      <c r="L55" s="985"/>
      <c r="M55" s="936"/>
      <c r="N55" s="549"/>
      <c r="O55" s="549"/>
      <c r="P55" s="549"/>
      <c r="Q55" s="549"/>
      <c r="R55" s="549"/>
      <c r="S55" s="549"/>
      <c r="T55" s="549"/>
      <c r="U55" s="549"/>
      <c r="V55" s="549"/>
      <c r="W55" s="549"/>
    </row>
    <row r="56" spans="1:23" s="984" customFormat="1">
      <c r="A56" s="549"/>
      <c r="B56" s="549"/>
      <c r="C56" s="551"/>
      <c r="D56" s="954"/>
      <c r="E56" s="549"/>
      <c r="F56" s="1268"/>
      <c r="H56" s="549"/>
      <c r="J56" s="549"/>
      <c r="K56" s="549"/>
      <c r="L56" s="985"/>
      <c r="M56" s="936"/>
      <c r="N56" s="549"/>
      <c r="O56" s="549"/>
      <c r="P56" s="549"/>
      <c r="Q56" s="549"/>
      <c r="R56" s="549"/>
      <c r="S56" s="549"/>
      <c r="T56" s="549"/>
      <c r="U56" s="549"/>
      <c r="V56" s="549"/>
      <c r="W56" s="549"/>
    </row>
  </sheetData>
  <autoFilter ref="E15:L15" xr:uid="{780BDDE7-5DB7-43EA-9D21-2ED6C78F0368}"/>
  <mergeCells count="22">
    <mergeCell ref="C21:D21"/>
    <mergeCell ref="I7:J7"/>
    <mergeCell ref="L7:L8"/>
    <mergeCell ref="M7:M9"/>
    <mergeCell ref="E42:G42"/>
    <mergeCell ref="C33:D33"/>
    <mergeCell ref="C34:D34"/>
    <mergeCell ref="C36:D36"/>
    <mergeCell ref="C37:D37"/>
    <mergeCell ref="C38:D38"/>
    <mergeCell ref="C39:D39"/>
    <mergeCell ref="C35:D35"/>
    <mergeCell ref="A1:L1"/>
    <mergeCell ref="A2:L2"/>
    <mergeCell ref="A3:L3"/>
    <mergeCell ref="U4:U5"/>
    <mergeCell ref="N6:U6"/>
    <mergeCell ref="A7:A9"/>
    <mergeCell ref="B7:D9"/>
    <mergeCell ref="E7:E9"/>
    <mergeCell ref="F7:F9"/>
    <mergeCell ref="G7:H7"/>
  </mergeCells>
  <printOptions horizontalCentered="1"/>
  <pageMargins left="0.6" right="0.2" top="0.5" bottom="0.5" header="0.3" footer="0.3"/>
  <pageSetup paperSize="9" scale="6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8CDC-7BA7-4DD4-A487-DFAEF2BCB011}">
  <sheetPr>
    <tabColor rgb="FF92D050"/>
    <pageSetUpPr fitToPage="1"/>
  </sheetPr>
  <dimension ref="A1:N142"/>
  <sheetViews>
    <sheetView zoomScale="85" zoomScaleNormal="85" zoomScaleSheetLayoutView="100" workbookViewId="0">
      <pane xSplit="1" ySplit="6" topLeftCell="B109" activePane="bottomRight" state="frozen"/>
      <selection pane="bottomRight" activeCell="F136" sqref="F136"/>
      <selection pane="bottomLeft" activeCell="H98" sqref="H98"/>
      <selection pane="topRight" activeCell="H98" sqref="H98"/>
    </sheetView>
  </sheetViews>
  <sheetFormatPr defaultColWidth="14.5703125" defaultRowHeight="18" customHeight="1"/>
  <cols>
    <col min="1" max="1" width="6.28515625" style="884" customWidth="1"/>
    <col min="2" max="2" width="3.85546875" style="884" customWidth="1"/>
    <col min="3" max="3" width="60.140625" style="884" customWidth="1"/>
    <col min="4" max="4" width="12.28515625" style="884" bestFit="1" customWidth="1"/>
    <col min="5" max="5" width="8.7109375" style="884" customWidth="1"/>
    <col min="6" max="6" width="14.28515625" style="884" bestFit="1" customWidth="1"/>
    <col min="7" max="7" width="15.5703125" style="884" bestFit="1" customWidth="1"/>
    <col min="8" max="10" width="14.28515625" style="884" bestFit="1" customWidth="1"/>
    <col min="11" max="11" width="15" style="884" customWidth="1"/>
    <col min="12" max="12" width="15.7109375" style="884" customWidth="1"/>
    <col min="13" max="16384" width="14.5703125" style="884"/>
  </cols>
  <sheetData>
    <row r="1" spans="1:14" s="826" customFormat="1" ht="38.450000000000003" customHeight="1">
      <c r="A1" s="828"/>
      <c r="B1" s="829"/>
      <c r="C1" s="830"/>
      <c r="D1" s="831" t="s">
        <v>916</v>
      </c>
      <c r="E1" s="832"/>
      <c r="F1" s="832"/>
      <c r="G1" s="833"/>
      <c r="H1" s="834"/>
      <c r="I1" s="834"/>
      <c r="J1" s="834"/>
      <c r="K1" s="835" t="s">
        <v>917</v>
      </c>
      <c r="L1" s="836"/>
    </row>
    <row r="2" spans="1:14" s="826" customFormat="1" ht="24" customHeight="1">
      <c r="A2" s="837"/>
      <c r="B2" s="838"/>
      <c r="C2" s="839" t="s">
        <v>918</v>
      </c>
      <c r="D2" s="840" t="s">
        <v>919</v>
      </c>
      <c r="E2" s="840"/>
      <c r="F2" s="840"/>
      <c r="G2" s="840"/>
      <c r="H2" s="841"/>
      <c r="I2" s="841"/>
      <c r="J2" s="841"/>
      <c r="K2" s="842" t="s">
        <v>920</v>
      </c>
      <c r="L2" s="843"/>
    </row>
    <row r="3" spans="1:14" s="826" customFormat="1" ht="24" customHeight="1">
      <c r="A3" s="844"/>
      <c r="B3" s="845"/>
      <c r="C3" s="846" t="s">
        <v>921</v>
      </c>
      <c r="D3" s="847" t="s">
        <v>922</v>
      </c>
      <c r="E3" s="847"/>
      <c r="F3" s="847"/>
      <c r="G3" s="847"/>
      <c r="H3" s="847"/>
      <c r="I3" s="841"/>
      <c r="J3" s="841"/>
      <c r="K3" s="848" t="s">
        <v>923</v>
      </c>
      <c r="L3" s="849"/>
    </row>
    <row r="4" spans="1:14" s="856" customFormat="1" ht="18" customHeight="1">
      <c r="A4" s="850"/>
      <c r="B4" s="851"/>
      <c r="C4" s="852"/>
      <c r="D4" s="853"/>
      <c r="E4" s="854"/>
      <c r="F4" s="1755" t="s">
        <v>50</v>
      </c>
      <c r="G4" s="1755"/>
      <c r="H4" s="1755" t="s">
        <v>924</v>
      </c>
      <c r="I4" s="1755"/>
      <c r="J4" s="854"/>
      <c r="K4" s="854" t="s">
        <v>925</v>
      </c>
      <c r="L4" s="855"/>
    </row>
    <row r="5" spans="1:14" s="856" customFormat="1" ht="18" customHeight="1">
      <c r="A5" s="857" t="s">
        <v>914</v>
      </c>
      <c r="B5" s="1756" t="s">
        <v>926</v>
      </c>
      <c r="C5" s="1757"/>
      <c r="D5" s="858" t="s">
        <v>927</v>
      </c>
      <c r="E5" s="859" t="s">
        <v>34</v>
      </c>
      <c r="F5" s="859" t="s">
        <v>928</v>
      </c>
      <c r="G5" s="859" t="s">
        <v>929</v>
      </c>
      <c r="H5" s="859" t="s">
        <v>928</v>
      </c>
      <c r="I5" s="859" t="s">
        <v>929</v>
      </c>
      <c r="J5" s="859" t="s">
        <v>12</v>
      </c>
      <c r="K5" s="859" t="s">
        <v>930</v>
      </c>
      <c r="L5" s="860" t="s">
        <v>931</v>
      </c>
    </row>
    <row r="6" spans="1:14" s="856" customFormat="1" ht="18" customHeight="1">
      <c r="A6" s="861"/>
      <c r="B6" s="862"/>
      <c r="C6" s="863"/>
      <c r="D6" s="864"/>
      <c r="E6" s="865"/>
      <c r="F6" s="865" t="s">
        <v>932</v>
      </c>
      <c r="G6" s="865" t="s">
        <v>932</v>
      </c>
      <c r="H6" s="865" t="s">
        <v>932</v>
      </c>
      <c r="I6" s="865" t="s">
        <v>932</v>
      </c>
      <c r="J6" s="865"/>
      <c r="K6" s="865" t="s">
        <v>932</v>
      </c>
      <c r="L6" s="866"/>
    </row>
    <row r="7" spans="1:14" s="826" customFormat="1" ht="21.6" customHeight="1">
      <c r="A7" s="824"/>
      <c r="B7" s="825"/>
      <c r="C7" s="867"/>
      <c r="D7" s="868"/>
      <c r="E7" s="868"/>
      <c r="F7" s="823"/>
      <c r="G7" s="823"/>
      <c r="H7" s="823"/>
      <c r="I7" s="823"/>
      <c r="J7" s="823"/>
      <c r="K7" s="823"/>
      <c r="L7" s="869"/>
    </row>
    <row r="8" spans="1:14" s="826" customFormat="1" ht="25.5">
      <c r="A8" s="896">
        <v>1</v>
      </c>
      <c r="B8" s="897"/>
      <c r="C8" s="901" t="s">
        <v>933</v>
      </c>
      <c r="D8" s="898"/>
      <c r="E8" s="898"/>
      <c r="F8" s="898"/>
      <c r="G8" s="898"/>
      <c r="H8" s="898"/>
      <c r="I8" s="898"/>
      <c r="J8" s="898"/>
      <c r="K8" s="899"/>
      <c r="L8" s="900"/>
    </row>
    <row r="9" spans="1:14" s="826" customFormat="1" ht="21.75">
      <c r="A9" s="870">
        <v>1.01</v>
      </c>
      <c r="B9" s="871" t="s">
        <v>282</v>
      </c>
      <c r="C9" s="872" t="s">
        <v>934</v>
      </c>
      <c r="D9" s="823"/>
      <c r="E9" s="868" t="s">
        <v>240</v>
      </c>
      <c r="F9" s="823"/>
      <c r="G9" s="823"/>
      <c r="H9" s="823"/>
      <c r="I9" s="823"/>
      <c r="J9" s="823"/>
      <c r="K9" s="823"/>
      <c r="L9" s="873"/>
      <c r="N9" s="827"/>
    </row>
    <row r="10" spans="1:14" s="826" customFormat="1" ht="21.75">
      <c r="A10" s="870">
        <v>1.02</v>
      </c>
      <c r="B10" s="871" t="s">
        <v>282</v>
      </c>
      <c r="C10" s="872" t="s">
        <v>935</v>
      </c>
      <c r="D10" s="823"/>
      <c r="E10" s="868" t="s">
        <v>936</v>
      </c>
      <c r="F10" s="823"/>
      <c r="G10" s="823"/>
      <c r="H10" s="823"/>
      <c r="I10" s="823"/>
      <c r="J10" s="823"/>
      <c r="K10" s="823"/>
      <c r="L10" s="873"/>
      <c r="N10" s="827"/>
    </row>
    <row r="11" spans="1:14" s="826" customFormat="1" ht="21.75">
      <c r="A11" s="870">
        <v>1.03</v>
      </c>
      <c r="B11" s="871" t="s">
        <v>282</v>
      </c>
      <c r="C11" s="872" t="s">
        <v>937</v>
      </c>
      <c r="D11" s="823"/>
      <c r="E11" s="868" t="s">
        <v>936</v>
      </c>
      <c r="F11" s="823"/>
      <c r="G11" s="823"/>
      <c r="H11" s="823"/>
      <c r="I11" s="823"/>
      <c r="J11" s="823"/>
      <c r="K11" s="823"/>
      <c r="L11" s="873"/>
      <c r="N11" s="827"/>
    </row>
    <row r="12" spans="1:14" s="826" customFormat="1" ht="21.75">
      <c r="A12" s="870">
        <v>1.04</v>
      </c>
      <c r="B12" s="871" t="s">
        <v>282</v>
      </c>
      <c r="C12" s="872" t="s">
        <v>938</v>
      </c>
      <c r="D12" s="823"/>
      <c r="E12" s="868" t="s">
        <v>936</v>
      </c>
      <c r="F12" s="823"/>
      <c r="G12" s="823"/>
      <c r="H12" s="823"/>
      <c r="I12" s="823"/>
      <c r="J12" s="823"/>
      <c r="K12" s="823"/>
      <c r="L12" s="873"/>
      <c r="N12" s="827"/>
    </row>
    <row r="13" spans="1:14" s="826" customFormat="1" ht="21.75">
      <c r="A13" s="870">
        <v>1.05</v>
      </c>
      <c r="B13" s="871" t="s">
        <v>282</v>
      </c>
      <c r="C13" s="872" t="s">
        <v>939</v>
      </c>
      <c r="D13" s="823"/>
      <c r="E13" s="868" t="s">
        <v>936</v>
      </c>
      <c r="F13" s="823"/>
      <c r="G13" s="823"/>
      <c r="H13" s="823"/>
      <c r="I13" s="823"/>
      <c r="J13" s="823"/>
      <c r="K13" s="823"/>
      <c r="L13" s="873"/>
      <c r="N13" s="827"/>
    </row>
    <row r="14" spans="1:14" s="826" customFormat="1" ht="21.75">
      <c r="A14" s="870">
        <v>1.06</v>
      </c>
      <c r="B14" s="871" t="s">
        <v>282</v>
      </c>
      <c r="C14" s="872" t="s">
        <v>940</v>
      </c>
      <c r="D14" s="823"/>
      <c r="E14" s="868" t="s">
        <v>936</v>
      </c>
      <c r="F14" s="823"/>
      <c r="G14" s="823"/>
      <c r="H14" s="823"/>
      <c r="I14" s="823"/>
      <c r="J14" s="823"/>
      <c r="K14" s="823"/>
      <c r="L14" s="873"/>
      <c r="N14" s="827"/>
    </row>
    <row r="15" spans="1:14" s="826" customFormat="1" ht="21.75">
      <c r="A15" s="870">
        <v>1.07</v>
      </c>
      <c r="B15" s="871" t="s">
        <v>282</v>
      </c>
      <c r="C15" s="872" t="s">
        <v>941</v>
      </c>
      <c r="D15" s="823"/>
      <c r="E15" s="868" t="s">
        <v>936</v>
      </c>
      <c r="F15" s="823"/>
      <c r="G15" s="823"/>
      <c r="H15" s="874"/>
      <c r="I15" s="874"/>
      <c r="J15" s="823"/>
      <c r="K15" s="823"/>
      <c r="L15" s="873"/>
      <c r="N15" s="827"/>
    </row>
    <row r="16" spans="1:14" s="826" customFormat="1" ht="21.75">
      <c r="A16" s="870">
        <v>1.08</v>
      </c>
      <c r="B16" s="871" t="s">
        <v>282</v>
      </c>
      <c r="C16" s="872" t="s">
        <v>942</v>
      </c>
      <c r="D16" s="823"/>
      <c r="E16" s="868" t="s">
        <v>936</v>
      </c>
      <c r="F16" s="823"/>
      <c r="G16" s="823"/>
      <c r="H16" s="823"/>
      <c r="I16" s="823"/>
      <c r="J16" s="823"/>
      <c r="K16" s="823"/>
      <c r="L16" s="873"/>
      <c r="N16" s="827"/>
    </row>
    <row r="17" spans="1:14" s="826" customFormat="1" ht="21.75">
      <c r="A17" s="870">
        <v>1.0900000000000001</v>
      </c>
      <c r="B17" s="871" t="s">
        <v>282</v>
      </c>
      <c r="C17" s="872" t="s">
        <v>943</v>
      </c>
      <c r="D17" s="823"/>
      <c r="E17" s="868" t="s">
        <v>936</v>
      </c>
      <c r="F17" s="823"/>
      <c r="G17" s="823"/>
      <c r="H17" s="823"/>
      <c r="I17" s="823"/>
      <c r="J17" s="823"/>
      <c r="K17" s="823"/>
      <c r="L17" s="873"/>
      <c r="N17" s="827"/>
    </row>
    <row r="18" spans="1:14" s="826" customFormat="1" ht="21.75">
      <c r="A18" s="875">
        <v>1.1000000000000001</v>
      </c>
      <c r="B18" s="871" t="s">
        <v>282</v>
      </c>
      <c r="C18" s="872" t="s">
        <v>944</v>
      </c>
      <c r="D18" s="823"/>
      <c r="E18" s="868" t="s">
        <v>104</v>
      </c>
      <c r="F18" s="823"/>
      <c r="G18" s="823"/>
      <c r="H18" s="823"/>
      <c r="I18" s="823"/>
      <c r="J18" s="823"/>
      <c r="K18" s="823"/>
      <c r="L18" s="873"/>
      <c r="N18" s="827"/>
    </row>
    <row r="19" spans="1:14" s="826" customFormat="1" ht="21.75">
      <c r="A19" s="870">
        <v>1.1100000000000001</v>
      </c>
      <c r="B19" s="871" t="s">
        <v>282</v>
      </c>
      <c r="C19" s="872" t="s">
        <v>945</v>
      </c>
      <c r="D19" s="823"/>
      <c r="E19" s="868"/>
      <c r="F19" s="823"/>
      <c r="G19" s="823"/>
      <c r="H19" s="823"/>
      <c r="I19" s="823"/>
      <c r="J19" s="823"/>
      <c r="K19" s="823"/>
      <c r="L19" s="873"/>
      <c r="N19" s="827"/>
    </row>
    <row r="20" spans="1:14" s="826" customFormat="1" ht="21.75">
      <c r="A20" s="870"/>
      <c r="B20" s="871"/>
      <c r="C20" s="872" t="s">
        <v>946</v>
      </c>
      <c r="D20" s="823"/>
      <c r="E20" s="868" t="s">
        <v>936</v>
      </c>
      <c r="F20" s="823"/>
      <c r="G20" s="823"/>
      <c r="H20" s="823"/>
      <c r="I20" s="823"/>
      <c r="J20" s="823"/>
      <c r="K20" s="823"/>
      <c r="L20" s="873"/>
      <c r="N20" s="827"/>
    </row>
    <row r="21" spans="1:14" s="826" customFormat="1" ht="21.75">
      <c r="A21" s="870"/>
      <c r="B21" s="871"/>
      <c r="C21" s="872" t="s">
        <v>947</v>
      </c>
      <c r="D21" s="823"/>
      <c r="E21" s="868" t="s">
        <v>936</v>
      </c>
      <c r="F21" s="823"/>
      <c r="G21" s="823"/>
      <c r="H21" s="823"/>
      <c r="I21" s="823"/>
      <c r="J21" s="823"/>
      <c r="K21" s="823"/>
      <c r="L21" s="873"/>
      <c r="N21" s="827"/>
    </row>
    <row r="22" spans="1:14" s="826" customFormat="1" ht="21.75">
      <c r="A22" s="870"/>
      <c r="B22" s="871"/>
      <c r="C22" s="872" t="s">
        <v>948</v>
      </c>
      <c r="D22" s="823"/>
      <c r="E22" s="868" t="s">
        <v>936</v>
      </c>
      <c r="F22" s="823"/>
      <c r="G22" s="823"/>
      <c r="H22" s="823"/>
      <c r="I22" s="823"/>
      <c r="J22" s="823"/>
      <c r="K22" s="823"/>
      <c r="L22" s="873"/>
      <c r="N22" s="827"/>
    </row>
    <row r="23" spans="1:14" s="826" customFormat="1" ht="21.75">
      <c r="A23" s="870"/>
      <c r="B23" s="871"/>
      <c r="C23" s="872" t="s">
        <v>949</v>
      </c>
      <c r="D23" s="823"/>
      <c r="E23" s="868" t="s">
        <v>936</v>
      </c>
      <c r="F23" s="823"/>
      <c r="G23" s="823"/>
      <c r="H23" s="823"/>
      <c r="I23" s="823"/>
      <c r="J23" s="823"/>
      <c r="K23" s="823"/>
      <c r="L23" s="873"/>
      <c r="N23" s="827"/>
    </row>
    <row r="24" spans="1:14" s="826" customFormat="1" ht="21.75">
      <c r="A24" s="870"/>
      <c r="B24" s="871"/>
      <c r="C24" s="872" t="s">
        <v>950</v>
      </c>
      <c r="D24" s="823"/>
      <c r="E24" s="868" t="s">
        <v>936</v>
      </c>
      <c r="F24" s="823"/>
      <c r="G24" s="823"/>
      <c r="H24" s="823"/>
      <c r="I24" s="823"/>
      <c r="J24" s="823"/>
      <c r="K24" s="823"/>
      <c r="L24" s="873"/>
      <c r="N24" s="827"/>
    </row>
    <row r="25" spans="1:14" s="826" customFormat="1" ht="21.75">
      <c r="A25" s="870"/>
      <c r="B25" s="871"/>
      <c r="C25" s="872" t="s">
        <v>951</v>
      </c>
      <c r="D25" s="823"/>
      <c r="E25" s="868" t="s">
        <v>936</v>
      </c>
      <c r="F25" s="823"/>
      <c r="G25" s="823"/>
      <c r="H25" s="823"/>
      <c r="I25" s="823"/>
      <c r="J25" s="823"/>
      <c r="K25" s="823"/>
      <c r="L25" s="873"/>
      <c r="N25" s="827"/>
    </row>
    <row r="26" spans="1:14" s="826" customFormat="1" ht="21.75">
      <c r="A26" s="870"/>
      <c r="B26" s="871"/>
      <c r="C26" s="872" t="s">
        <v>952</v>
      </c>
      <c r="D26" s="823"/>
      <c r="E26" s="868" t="s">
        <v>936</v>
      </c>
      <c r="F26" s="823"/>
      <c r="G26" s="823"/>
      <c r="H26" s="823"/>
      <c r="I26" s="823"/>
      <c r="J26" s="823"/>
      <c r="K26" s="823"/>
      <c r="L26" s="873"/>
      <c r="N26" s="827"/>
    </row>
    <row r="27" spans="1:14" s="826" customFormat="1" ht="21.75">
      <c r="A27" s="870"/>
      <c r="B27" s="871"/>
      <c r="C27" s="872" t="s">
        <v>953</v>
      </c>
      <c r="D27" s="823"/>
      <c r="E27" s="868" t="s">
        <v>936</v>
      </c>
      <c r="F27" s="823"/>
      <c r="G27" s="823"/>
      <c r="H27" s="823"/>
      <c r="I27" s="823"/>
      <c r="J27" s="823"/>
      <c r="K27" s="823"/>
      <c r="L27" s="873"/>
      <c r="N27" s="827"/>
    </row>
    <row r="28" spans="1:14" s="826" customFormat="1" ht="21.75">
      <c r="A28" s="870"/>
      <c r="B28" s="871"/>
      <c r="C28" s="872" t="s">
        <v>954</v>
      </c>
      <c r="D28" s="823"/>
      <c r="E28" s="868" t="s">
        <v>936</v>
      </c>
      <c r="F28" s="823"/>
      <c r="G28" s="823"/>
      <c r="H28" s="823"/>
      <c r="I28" s="823"/>
      <c r="J28" s="823"/>
      <c r="K28" s="823"/>
      <c r="L28" s="873"/>
      <c r="N28" s="827"/>
    </row>
    <row r="29" spans="1:14" s="826" customFormat="1" ht="21.75">
      <c r="A29" s="870"/>
      <c r="B29" s="871"/>
      <c r="C29" s="872" t="s">
        <v>955</v>
      </c>
      <c r="D29" s="823"/>
      <c r="E29" s="868" t="s">
        <v>564</v>
      </c>
      <c r="F29" s="823"/>
      <c r="G29" s="823"/>
      <c r="H29" s="823"/>
      <c r="I29" s="823"/>
      <c r="J29" s="823"/>
      <c r="K29" s="823"/>
      <c r="L29" s="873"/>
      <c r="N29" s="827"/>
    </row>
    <row r="30" spans="1:14" s="826" customFormat="1" ht="21.75">
      <c r="A30" s="870">
        <v>1.1200000000000001</v>
      </c>
      <c r="B30" s="871" t="s">
        <v>282</v>
      </c>
      <c r="C30" s="872" t="s">
        <v>956</v>
      </c>
      <c r="D30" s="823"/>
      <c r="E30" s="868" t="s">
        <v>564</v>
      </c>
      <c r="F30" s="823"/>
      <c r="G30" s="823"/>
      <c r="H30" s="823"/>
      <c r="I30" s="823"/>
      <c r="J30" s="823"/>
      <c r="K30" s="823"/>
      <c r="L30" s="873"/>
      <c r="N30" s="827"/>
    </row>
    <row r="31" spans="1:14" s="826" customFormat="1" ht="21.75">
      <c r="A31" s="870">
        <v>1.1299999999999999</v>
      </c>
      <c r="B31" s="871" t="s">
        <v>282</v>
      </c>
      <c r="C31" s="872" t="s">
        <v>957</v>
      </c>
      <c r="D31" s="823"/>
      <c r="E31" s="868" t="s">
        <v>564</v>
      </c>
      <c r="F31" s="823"/>
      <c r="G31" s="823"/>
      <c r="H31" s="823"/>
      <c r="I31" s="823"/>
      <c r="J31" s="823"/>
      <c r="K31" s="823"/>
      <c r="L31" s="873"/>
      <c r="N31" s="827"/>
    </row>
    <row r="32" spans="1:14" s="826" customFormat="1" ht="21.75">
      <c r="A32" s="870">
        <v>1.1399999999999999</v>
      </c>
      <c r="B32" s="871" t="s">
        <v>282</v>
      </c>
      <c r="C32" s="872" t="s">
        <v>673</v>
      </c>
      <c r="D32" s="823"/>
      <c r="E32" s="868" t="s">
        <v>564</v>
      </c>
      <c r="F32" s="823"/>
      <c r="G32" s="823"/>
      <c r="H32" s="823"/>
      <c r="I32" s="823"/>
      <c r="J32" s="823"/>
      <c r="K32" s="823"/>
      <c r="L32" s="873"/>
      <c r="N32" s="827"/>
    </row>
    <row r="33" spans="1:14" s="826" customFormat="1" ht="21.75">
      <c r="A33" s="870"/>
      <c r="B33" s="871"/>
      <c r="C33" s="872"/>
      <c r="D33" s="823"/>
      <c r="E33" s="868"/>
      <c r="F33" s="823"/>
      <c r="G33" s="823"/>
      <c r="H33" s="823"/>
      <c r="I33" s="823"/>
      <c r="J33" s="823"/>
      <c r="K33" s="823"/>
      <c r="L33" s="873"/>
      <c r="N33" s="827"/>
    </row>
    <row r="34" spans="1:14" s="826" customFormat="1" ht="25.5">
      <c r="A34" s="896">
        <v>2</v>
      </c>
      <c r="B34" s="897"/>
      <c r="C34" s="901" t="s">
        <v>958</v>
      </c>
      <c r="D34" s="902"/>
      <c r="E34" s="898"/>
      <c r="F34" s="898"/>
      <c r="G34" s="898"/>
      <c r="H34" s="898"/>
      <c r="I34" s="898"/>
      <c r="J34" s="898"/>
      <c r="K34" s="899"/>
      <c r="L34" s="903"/>
      <c r="N34" s="827"/>
    </row>
    <row r="35" spans="1:14" s="826" customFormat="1" ht="21.75">
      <c r="A35" s="870">
        <v>2.0099999999999998</v>
      </c>
      <c r="B35" s="871" t="s">
        <v>282</v>
      </c>
      <c r="C35" s="872" t="s">
        <v>959</v>
      </c>
      <c r="D35" s="823"/>
      <c r="E35" s="868" t="s">
        <v>240</v>
      </c>
      <c r="F35" s="823"/>
      <c r="G35" s="823"/>
      <c r="H35" s="823"/>
      <c r="I35" s="823"/>
      <c r="J35" s="823"/>
      <c r="K35" s="823"/>
      <c r="L35" s="873"/>
      <c r="N35" s="827"/>
    </row>
    <row r="36" spans="1:14" s="826" customFormat="1" ht="21.75">
      <c r="A36" s="870">
        <v>2.02</v>
      </c>
      <c r="B36" s="871" t="s">
        <v>282</v>
      </c>
      <c r="C36" s="872" t="s">
        <v>960</v>
      </c>
      <c r="D36" s="823"/>
      <c r="E36" s="868" t="s">
        <v>936</v>
      </c>
      <c r="F36" s="823"/>
      <c r="G36" s="823"/>
      <c r="H36" s="823"/>
      <c r="I36" s="823"/>
      <c r="J36" s="823"/>
      <c r="K36" s="823"/>
      <c r="L36" s="873"/>
      <c r="N36" s="827"/>
    </row>
    <row r="37" spans="1:14" s="826" customFormat="1" ht="21.75">
      <c r="A37" s="870">
        <v>2.0299999999999998</v>
      </c>
      <c r="B37" s="871" t="s">
        <v>282</v>
      </c>
      <c r="C37" s="872" t="s">
        <v>961</v>
      </c>
      <c r="D37" s="823"/>
      <c r="E37" s="868" t="s">
        <v>936</v>
      </c>
      <c r="F37" s="823"/>
      <c r="G37" s="823"/>
      <c r="H37" s="823"/>
      <c r="I37" s="823"/>
      <c r="J37" s="823"/>
      <c r="K37" s="823"/>
      <c r="L37" s="873"/>
      <c r="N37" s="827"/>
    </row>
    <row r="38" spans="1:14" s="826" customFormat="1" ht="21.75">
      <c r="A38" s="870">
        <v>2.04</v>
      </c>
      <c r="B38" s="871" t="s">
        <v>282</v>
      </c>
      <c r="C38" s="872" t="s">
        <v>962</v>
      </c>
      <c r="D38" s="823"/>
      <c r="E38" s="868" t="s">
        <v>936</v>
      </c>
      <c r="F38" s="823"/>
      <c r="G38" s="823"/>
      <c r="H38" s="823"/>
      <c r="I38" s="823"/>
      <c r="J38" s="823"/>
      <c r="K38" s="823"/>
      <c r="L38" s="873"/>
      <c r="N38" s="827"/>
    </row>
    <row r="39" spans="1:14" s="826" customFormat="1" ht="21.75">
      <c r="A39" s="870">
        <v>2.0499999999999998</v>
      </c>
      <c r="B39" s="871" t="s">
        <v>282</v>
      </c>
      <c r="C39" s="872" t="s">
        <v>963</v>
      </c>
      <c r="D39" s="823"/>
      <c r="E39" s="868" t="s">
        <v>936</v>
      </c>
      <c r="F39" s="823"/>
      <c r="G39" s="823"/>
      <c r="H39" s="823"/>
      <c r="I39" s="823"/>
      <c r="J39" s="823"/>
      <c r="K39" s="823"/>
      <c r="L39" s="873"/>
      <c r="N39" s="827"/>
    </row>
    <row r="40" spans="1:14" s="826" customFormat="1" ht="21.75">
      <c r="A40" s="870">
        <v>2.06</v>
      </c>
      <c r="B40" s="871" t="s">
        <v>282</v>
      </c>
      <c r="C40" s="872" t="s">
        <v>964</v>
      </c>
      <c r="D40" s="823"/>
      <c r="E40" s="868" t="s">
        <v>936</v>
      </c>
      <c r="F40" s="823"/>
      <c r="G40" s="823"/>
      <c r="H40" s="823"/>
      <c r="I40" s="823"/>
      <c r="J40" s="823"/>
      <c r="K40" s="823"/>
      <c r="L40" s="873"/>
      <c r="N40" s="827"/>
    </row>
    <row r="41" spans="1:14" s="826" customFormat="1" ht="21.75">
      <c r="A41" s="870">
        <v>2.0699999999999998</v>
      </c>
      <c r="B41" s="871" t="s">
        <v>282</v>
      </c>
      <c r="C41" s="872" t="s">
        <v>965</v>
      </c>
      <c r="D41" s="823"/>
      <c r="E41" s="868" t="s">
        <v>936</v>
      </c>
      <c r="F41" s="823"/>
      <c r="G41" s="823"/>
      <c r="H41" s="823"/>
      <c r="I41" s="823"/>
      <c r="J41" s="823"/>
      <c r="K41" s="823"/>
      <c r="L41" s="873"/>
      <c r="N41" s="827"/>
    </row>
    <row r="42" spans="1:14" s="826" customFormat="1" ht="21.75">
      <c r="A42" s="870">
        <v>2.08</v>
      </c>
      <c r="B42" s="871" t="s">
        <v>282</v>
      </c>
      <c r="C42" s="872" t="s">
        <v>966</v>
      </c>
      <c r="D42" s="823"/>
      <c r="E42" s="868" t="s">
        <v>936</v>
      </c>
      <c r="F42" s="823"/>
      <c r="G42" s="823"/>
      <c r="H42" s="823"/>
      <c r="I42" s="823"/>
      <c r="J42" s="823"/>
      <c r="K42" s="823"/>
      <c r="L42" s="873"/>
      <c r="N42" s="827"/>
    </row>
    <row r="43" spans="1:14" s="826" customFormat="1" ht="21.75">
      <c r="A43" s="870">
        <v>2.09</v>
      </c>
      <c r="B43" s="871" t="s">
        <v>282</v>
      </c>
      <c r="C43" s="872" t="s">
        <v>967</v>
      </c>
      <c r="D43" s="823"/>
      <c r="E43" s="868" t="s">
        <v>936</v>
      </c>
      <c r="F43" s="823"/>
      <c r="G43" s="823"/>
      <c r="H43" s="823"/>
      <c r="I43" s="823"/>
      <c r="J43" s="823"/>
      <c r="K43" s="823"/>
      <c r="L43" s="873"/>
      <c r="N43" s="827"/>
    </row>
    <row r="44" spans="1:14" s="826" customFormat="1" ht="21.75">
      <c r="A44" s="875">
        <v>2.1</v>
      </c>
      <c r="B44" s="871" t="s">
        <v>282</v>
      </c>
      <c r="C44" s="872" t="s">
        <v>968</v>
      </c>
      <c r="D44" s="823"/>
      <c r="E44" s="868" t="s">
        <v>104</v>
      </c>
      <c r="F44" s="823"/>
      <c r="G44" s="823"/>
      <c r="H44" s="823"/>
      <c r="I44" s="823"/>
      <c r="J44" s="823"/>
      <c r="K44" s="823"/>
      <c r="L44" s="873"/>
      <c r="N44" s="827"/>
    </row>
    <row r="45" spans="1:14" s="826" customFormat="1" ht="21.75">
      <c r="A45" s="875">
        <v>2.11</v>
      </c>
      <c r="B45" s="871" t="s">
        <v>282</v>
      </c>
      <c r="C45" s="872" t="s">
        <v>945</v>
      </c>
      <c r="D45" s="823"/>
      <c r="E45" s="868"/>
      <c r="F45" s="823"/>
      <c r="G45" s="823"/>
      <c r="H45" s="823"/>
      <c r="I45" s="823"/>
      <c r="J45" s="823"/>
      <c r="K45" s="823"/>
      <c r="L45" s="873"/>
      <c r="N45" s="827"/>
    </row>
    <row r="46" spans="1:14" s="826" customFormat="1" ht="21.75">
      <c r="A46" s="870"/>
      <c r="B46" s="871"/>
      <c r="C46" s="872" t="s">
        <v>946</v>
      </c>
      <c r="D46" s="823"/>
      <c r="E46" s="868" t="s">
        <v>936</v>
      </c>
      <c r="F46" s="823"/>
      <c r="G46" s="823"/>
      <c r="H46" s="823"/>
      <c r="I46" s="823"/>
      <c r="J46" s="823"/>
      <c r="K46" s="823"/>
      <c r="L46" s="873"/>
      <c r="N46" s="827"/>
    </row>
    <row r="47" spans="1:14" s="826" customFormat="1" ht="21.75">
      <c r="A47" s="870"/>
      <c r="B47" s="871"/>
      <c r="C47" s="872" t="s">
        <v>947</v>
      </c>
      <c r="D47" s="823"/>
      <c r="E47" s="868" t="s">
        <v>936</v>
      </c>
      <c r="F47" s="823"/>
      <c r="G47" s="823"/>
      <c r="H47" s="823"/>
      <c r="I47" s="823"/>
      <c r="J47" s="823"/>
      <c r="K47" s="823"/>
      <c r="L47" s="873"/>
      <c r="N47" s="827"/>
    </row>
    <row r="48" spans="1:14" s="826" customFormat="1" ht="21.75">
      <c r="A48" s="870"/>
      <c r="B48" s="871"/>
      <c r="C48" s="872" t="s">
        <v>948</v>
      </c>
      <c r="D48" s="823"/>
      <c r="E48" s="868" t="s">
        <v>936</v>
      </c>
      <c r="F48" s="823"/>
      <c r="G48" s="823"/>
      <c r="H48" s="823"/>
      <c r="I48" s="823"/>
      <c r="J48" s="823"/>
      <c r="K48" s="823"/>
      <c r="L48" s="873"/>
      <c r="N48" s="827"/>
    </row>
    <row r="49" spans="1:14" s="826" customFormat="1" ht="21.75">
      <c r="A49" s="870"/>
      <c r="B49" s="871"/>
      <c r="C49" s="872" t="s">
        <v>949</v>
      </c>
      <c r="D49" s="823"/>
      <c r="E49" s="868" t="s">
        <v>936</v>
      </c>
      <c r="F49" s="823"/>
      <c r="G49" s="823"/>
      <c r="H49" s="823"/>
      <c r="I49" s="823"/>
      <c r="J49" s="823"/>
      <c r="K49" s="823"/>
      <c r="L49" s="873"/>
      <c r="N49" s="827"/>
    </row>
    <row r="50" spans="1:14" s="826" customFormat="1" ht="21.75">
      <c r="A50" s="870"/>
      <c r="B50" s="871"/>
      <c r="C50" s="872" t="s">
        <v>969</v>
      </c>
      <c r="D50" s="823"/>
      <c r="E50" s="868" t="s">
        <v>936</v>
      </c>
      <c r="F50" s="823"/>
      <c r="G50" s="823"/>
      <c r="H50" s="823"/>
      <c r="I50" s="823"/>
      <c r="J50" s="823"/>
      <c r="K50" s="823"/>
      <c r="L50" s="873"/>
      <c r="N50" s="827"/>
    </row>
    <row r="51" spans="1:14" s="826" customFormat="1" ht="21.75">
      <c r="A51" s="870"/>
      <c r="B51" s="871"/>
      <c r="C51" s="872" t="s">
        <v>951</v>
      </c>
      <c r="D51" s="823"/>
      <c r="E51" s="868" t="s">
        <v>936</v>
      </c>
      <c r="F51" s="823"/>
      <c r="G51" s="823"/>
      <c r="H51" s="823"/>
      <c r="I51" s="823"/>
      <c r="J51" s="823"/>
      <c r="K51" s="823"/>
      <c r="L51" s="873"/>
      <c r="N51" s="827"/>
    </row>
    <row r="52" spans="1:14" s="826" customFormat="1" ht="21.75">
      <c r="A52" s="870"/>
      <c r="B52" s="871"/>
      <c r="C52" s="872" t="s">
        <v>952</v>
      </c>
      <c r="D52" s="823"/>
      <c r="E52" s="868" t="s">
        <v>936</v>
      </c>
      <c r="F52" s="823"/>
      <c r="G52" s="823"/>
      <c r="H52" s="823"/>
      <c r="I52" s="823"/>
      <c r="J52" s="823"/>
      <c r="K52" s="823"/>
      <c r="L52" s="873"/>
      <c r="N52" s="827"/>
    </row>
    <row r="53" spans="1:14" s="826" customFormat="1" ht="21.75">
      <c r="A53" s="870"/>
      <c r="B53" s="871"/>
      <c r="C53" s="872" t="s">
        <v>953</v>
      </c>
      <c r="D53" s="823"/>
      <c r="E53" s="868" t="s">
        <v>936</v>
      </c>
      <c r="F53" s="823"/>
      <c r="G53" s="823"/>
      <c r="H53" s="823"/>
      <c r="I53" s="823"/>
      <c r="J53" s="823"/>
      <c r="K53" s="823"/>
      <c r="L53" s="873"/>
      <c r="N53" s="827"/>
    </row>
    <row r="54" spans="1:14" s="826" customFormat="1" ht="21.75">
      <c r="A54" s="870"/>
      <c r="B54" s="871"/>
      <c r="C54" s="872" t="s">
        <v>954</v>
      </c>
      <c r="D54" s="823"/>
      <c r="E54" s="868" t="s">
        <v>936</v>
      </c>
      <c r="F54" s="823"/>
      <c r="G54" s="823"/>
      <c r="H54" s="823"/>
      <c r="I54" s="823"/>
      <c r="J54" s="823"/>
      <c r="K54" s="823"/>
      <c r="L54" s="873"/>
      <c r="N54" s="827"/>
    </row>
    <row r="55" spans="1:14" s="826" customFormat="1" ht="21.75">
      <c r="A55" s="870"/>
      <c r="B55" s="871"/>
      <c r="C55" s="872" t="s">
        <v>955</v>
      </c>
      <c r="D55" s="823"/>
      <c r="E55" s="868" t="s">
        <v>564</v>
      </c>
      <c r="F55" s="823"/>
      <c r="G55" s="823"/>
      <c r="H55" s="823"/>
      <c r="I55" s="823"/>
      <c r="J55" s="823"/>
      <c r="K55" s="823"/>
      <c r="L55" s="873"/>
      <c r="N55" s="827"/>
    </row>
    <row r="56" spans="1:14" s="826" customFormat="1" ht="21.75">
      <c r="A56" s="870">
        <v>2.12</v>
      </c>
      <c r="B56" s="871" t="s">
        <v>282</v>
      </c>
      <c r="C56" s="872" t="s">
        <v>956</v>
      </c>
      <c r="D56" s="823"/>
      <c r="E56" s="868" t="s">
        <v>564</v>
      </c>
      <c r="F56" s="823"/>
      <c r="G56" s="823"/>
      <c r="H56" s="823"/>
      <c r="I56" s="823"/>
      <c r="J56" s="823"/>
      <c r="K56" s="823"/>
      <c r="L56" s="873"/>
      <c r="N56" s="827"/>
    </row>
    <row r="57" spans="1:14" s="826" customFormat="1" ht="21.75">
      <c r="A57" s="870">
        <v>2.13</v>
      </c>
      <c r="B57" s="871" t="s">
        <v>282</v>
      </c>
      <c r="C57" s="872" t="s">
        <v>957</v>
      </c>
      <c r="D57" s="823"/>
      <c r="E57" s="868" t="s">
        <v>564</v>
      </c>
      <c r="F57" s="823"/>
      <c r="G57" s="823"/>
      <c r="H57" s="823"/>
      <c r="I57" s="823"/>
      <c r="J57" s="823"/>
      <c r="K57" s="823"/>
      <c r="L57" s="873"/>
      <c r="N57" s="827"/>
    </row>
    <row r="58" spans="1:14" s="826" customFormat="1" ht="21.75">
      <c r="A58" s="870">
        <v>2.14</v>
      </c>
      <c r="B58" s="871" t="s">
        <v>282</v>
      </c>
      <c r="C58" s="872" t="s">
        <v>673</v>
      </c>
      <c r="D58" s="823"/>
      <c r="E58" s="868" t="s">
        <v>564</v>
      </c>
      <c r="F58" s="823"/>
      <c r="G58" s="823"/>
      <c r="H58" s="823"/>
      <c r="I58" s="823"/>
      <c r="J58" s="823"/>
      <c r="K58" s="823"/>
      <c r="L58" s="873"/>
      <c r="N58" s="827"/>
    </row>
    <row r="59" spans="1:14" s="826" customFormat="1" ht="21.75">
      <c r="A59" s="870"/>
      <c r="B59" s="871"/>
      <c r="C59" s="872"/>
      <c r="D59" s="823"/>
      <c r="E59" s="868"/>
      <c r="F59" s="823"/>
      <c r="G59" s="823"/>
      <c r="H59" s="823"/>
      <c r="I59" s="823"/>
      <c r="J59" s="823"/>
      <c r="K59" s="823"/>
      <c r="L59" s="873"/>
      <c r="N59" s="827"/>
    </row>
    <row r="60" spans="1:14" s="826" customFormat="1" ht="25.5">
      <c r="A60" s="896">
        <v>3</v>
      </c>
      <c r="B60" s="897"/>
      <c r="C60" s="901" t="s">
        <v>970</v>
      </c>
      <c r="D60" s="902"/>
      <c r="E60" s="898"/>
      <c r="F60" s="898"/>
      <c r="G60" s="898"/>
      <c r="H60" s="898"/>
      <c r="I60" s="898"/>
      <c r="J60" s="898"/>
      <c r="K60" s="899"/>
      <c r="L60" s="903"/>
      <c r="N60" s="827"/>
    </row>
    <row r="61" spans="1:14" s="826" customFormat="1" ht="21.75">
      <c r="A61" s="870">
        <v>3.01</v>
      </c>
      <c r="B61" s="871" t="s">
        <v>282</v>
      </c>
      <c r="C61" s="872" t="s">
        <v>971</v>
      </c>
      <c r="D61" s="823"/>
      <c r="E61" s="868" t="s">
        <v>240</v>
      </c>
      <c r="F61" s="823"/>
      <c r="G61" s="823"/>
      <c r="H61" s="823"/>
      <c r="I61" s="823"/>
      <c r="J61" s="823"/>
      <c r="K61" s="823"/>
      <c r="L61" s="873"/>
      <c r="N61" s="827"/>
    </row>
    <row r="62" spans="1:14" s="826" customFormat="1" ht="21.75">
      <c r="A62" s="870">
        <v>3.02</v>
      </c>
      <c r="B62" s="871" t="s">
        <v>282</v>
      </c>
      <c r="C62" s="872" t="s">
        <v>972</v>
      </c>
      <c r="D62" s="823"/>
      <c r="E62" s="868" t="s">
        <v>936</v>
      </c>
      <c r="F62" s="823"/>
      <c r="G62" s="823"/>
      <c r="H62" s="823"/>
      <c r="I62" s="823"/>
      <c r="J62" s="823"/>
      <c r="K62" s="823"/>
      <c r="L62" s="873"/>
      <c r="N62" s="827"/>
    </row>
    <row r="63" spans="1:14" s="826" customFormat="1" ht="21.75">
      <c r="A63" s="870">
        <v>3.03</v>
      </c>
      <c r="B63" s="871" t="s">
        <v>282</v>
      </c>
      <c r="C63" s="872" t="s">
        <v>973</v>
      </c>
      <c r="D63" s="823"/>
      <c r="E63" s="868"/>
      <c r="F63" s="823"/>
      <c r="G63" s="823"/>
      <c r="H63" s="823"/>
      <c r="I63" s="823"/>
      <c r="J63" s="823"/>
      <c r="K63" s="823"/>
      <c r="L63" s="873"/>
      <c r="N63" s="827"/>
    </row>
    <row r="64" spans="1:14" s="826" customFormat="1" ht="21.75">
      <c r="A64" s="870"/>
      <c r="B64" s="871"/>
      <c r="C64" s="872" t="s">
        <v>974</v>
      </c>
      <c r="D64" s="823"/>
      <c r="E64" s="868" t="s">
        <v>104</v>
      </c>
      <c r="F64" s="823"/>
      <c r="G64" s="823"/>
      <c r="H64" s="823"/>
      <c r="I64" s="823"/>
      <c r="J64" s="823"/>
      <c r="K64" s="823"/>
      <c r="L64" s="873"/>
      <c r="N64" s="827"/>
    </row>
    <row r="65" spans="1:14" s="826" customFormat="1" ht="21.75">
      <c r="A65" s="870"/>
      <c r="B65" s="871"/>
      <c r="C65" s="872" t="s">
        <v>975</v>
      </c>
      <c r="D65" s="823"/>
      <c r="E65" s="868" t="s">
        <v>564</v>
      </c>
      <c r="F65" s="823"/>
      <c r="G65" s="823"/>
      <c r="H65" s="823"/>
      <c r="I65" s="823"/>
      <c r="J65" s="823"/>
      <c r="K65" s="823"/>
      <c r="L65" s="873"/>
      <c r="N65" s="827"/>
    </row>
    <row r="66" spans="1:14" s="826" customFormat="1" ht="21.75">
      <c r="A66" s="870"/>
      <c r="B66" s="871"/>
      <c r="C66" s="872" t="s">
        <v>976</v>
      </c>
      <c r="D66" s="823"/>
      <c r="E66" s="868" t="s">
        <v>564</v>
      </c>
      <c r="F66" s="823"/>
      <c r="G66" s="823"/>
      <c r="H66" s="823"/>
      <c r="I66" s="823"/>
      <c r="J66" s="823"/>
      <c r="K66" s="823"/>
      <c r="L66" s="873"/>
      <c r="N66" s="827"/>
    </row>
    <row r="67" spans="1:14" s="826" customFormat="1" ht="21.75">
      <c r="A67" s="870"/>
      <c r="B67" s="871"/>
      <c r="C67" s="872" t="s">
        <v>977</v>
      </c>
      <c r="D67" s="823"/>
      <c r="E67" s="868" t="s">
        <v>564</v>
      </c>
      <c r="F67" s="823"/>
      <c r="G67" s="823"/>
      <c r="H67" s="823"/>
      <c r="I67" s="823"/>
      <c r="J67" s="823"/>
      <c r="K67" s="823"/>
      <c r="L67" s="873"/>
      <c r="N67" s="827"/>
    </row>
    <row r="68" spans="1:14" s="826" customFormat="1" ht="21.75">
      <c r="A68" s="870"/>
      <c r="B68" s="871"/>
      <c r="C68" s="872"/>
      <c r="D68" s="823"/>
      <c r="E68" s="868"/>
      <c r="F68" s="823"/>
      <c r="G68" s="823"/>
      <c r="H68" s="823"/>
      <c r="I68" s="823"/>
      <c r="J68" s="823"/>
      <c r="K68" s="823"/>
      <c r="L68" s="873"/>
      <c r="N68" s="827"/>
    </row>
    <row r="69" spans="1:14" s="826" customFormat="1" ht="25.5">
      <c r="A69" s="896">
        <v>4</v>
      </c>
      <c r="B69" s="897"/>
      <c r="C69" s="901" t="s">
        <v>978</v>
      </c>
      <c r="D69" s="902"/>
      <c r="E69" s="898"/>
      <c r="F69" s="898"/>
      <c r="G69" s="898"/>
      <c r="H69" s="898"/>
      <c r="I69" s="898"/>
      <c r="J69" s="898"/>
      <c r="K69" s="899"/>
      <c r="L69" s="903"/>
      <c r="N69" s="827"/>
    </row>
    <row r="70" spans="1:14" s="826" customFormat="1" ht="21.75">
      <c r="A70" s="870">
        <v>4.01</v>
      </c>
      <c r="B70" s="871" t="s">
        <v>282</v>
      </c>
      <c r="C70" s="872" t="s">
        <v>971</v>
      </c>
      <c r="D70" s="823"/>
      <c r="E70" s="868" t="s">
        <v>240</v>
      </c>
      <c r="F70" s="823"/>
      <c r="G70" s="823"/>
      <c r="H70" s="823"/>
      <c r="I70" s="823"/>
      <c r="J70" s="823"/>
      <c r="K70" s="823"/>
      <c r="L70" s="873"/>
      <c r="N70" s="827"/>
    </row>
    <row r="71" spans="1:14" s="826" customFormat="1" ht="21.75">
      <c r="A71" s="870">
        <v>4.0199999999999996</v>
      </c>
      <c r="B71" s="871" t="s">
        <v>282</v>
      </c>
      <c r="C71" s="872" t="s">
        <v>972</v>
      </c>
      <c r="D71" s="823"/>
      <c r="E71" s="868" t="s">
        <v>936</v>
      </c>
      <c r="F71" s="823"/>
      <c r="G71" s="823"/>
      <c r="H71" s="823"/>
      <c r="I71" s="823"/>
      <c r="J71" s="823"/>
      <c r="K71" s="823"/>
      <c r="L71" s="873"/>
      <c r="N71" s="827"/>
    </row>
    <row r="72" spans="1:14" s="826" customFormat="1" ht="21.75">
      <c r="A72" s="870">
        <v>4.03</v>
      </c>
      <c r="B72" s="871" t="s">
        <v>282</v>
      </c>
      <c r="C72" s="872" t="s">
        <v>973</v>
      </c>
      <c r="D72" s="823"/>
      <c r="E72" s="868"/>
      <c r="F72" s="823"/>
      <c r="G72" s="823"/>
      <c r="H72" s="823"/>
      <c r="I72" s="823"/>
      <c r="J72" s="823"/>
      <c r="K72" s="823"/>
      <c r="L72" s="873"/>
      <c r="N72" s="827"/>
    </row>
    <row r="73" spans="1:14" s="826" customFormat="1" ht="21.75">
      <c r="A73" s="870"/>
      <c r="B73" s="871"/>
      <c r="C73" s="872" t="s">
        <v>974</v>
      </c>
      <c r="D73" s="823"/>
      <c r="E73" s="868" t="s">
        <v>104</v>
      </c>
      <c r="F73" s="823"/>
      <c r="G73" s="823"/>
      <c r="H73" s="823"/>
      <c r="I73" s="823"/>
      <c r="J73" s="823"/>
      <c r="K73" s="823"/>
      <c r="L73" s="873"/>
      <c r="N73" s="827"/>
    </row>
    <row r="74" spans="1:14" s="826" customFormat="1" ht="21.75">
      <c r="A74" s="870"/>
      <c r="B74" s="871"/>
      <c r="C74" s="872" t="s">
        <v>975</v>
      </c>
      <c r="D74" s="823"/>
      <c r="E74" s="868" t="s">
        <v>564</v>
      </c>
      <c r="F74" s="823"/>
      <c r="G74" s="823"/>
      <c r="H74" s="823"/>
      <c r="I74" s="823"/>
      <c r="J74" s="823"/>
      <c r="K74" s="823"/>
      <c r="L74" s="873"/>
      <c r="N74" s="827"/>
    </row>
    <row r="75" spans="1:14" s="826" customFormat="1" ht="21.75">
      <c r="A75" s="870"/>
      <c r="B75" s="871"/>
      <c r="C75" s="872" t="s">
        <v>976</v>
      </c>
      <c r="D75" s="823"/>
      <c r="E75" s="868" t="s">
        <v>564</v>
      </c>
      <c r="F75" s="823"/>
      <c r="G75" s="823"/>
      <c r="H75" s="823"/>
      <c r="I75" s="823"/>
      <c r="J75" s="823"/>
      <c r="K75" s="823"/>
      <c r="L75" s="873"/>
      <c r="N75" s="827"/>
    </row>
    <row r="76" spans="1:14" s="826" customFormat="1" ht="21.75">
      <c r="A76" s="870"/>
      <c r="B76" s="871"/>
      <c r="C76" s="872" t="s">
        <v>977</v>
      </c>
      <c r="D76" s="823"/>
      <c r="E76" s="868" t="s">
        <v>564</v>
      </c>
      <c r="F76" s="823"/>
      <c r="G76" s="823"/>
      <c r="H76" s="823"/>
      <c r="I76" s="823"/>
      <c r="J76" s="823"/>
      <c r="K76" s="823"/>
      <c r="L76" s="873"/>
      <c r="N76" s="827"/>
    </row>
    <row r="77" spans="1:14" s="826" customFormat="1" ht="21.75">
      <c r="A77" s="870"/>
      <c r="B77" s="871"/>
      <c r="C77" s="872"/>
      <c r="D77" s="823"/>
      <c r="E77" s="868"/>
      <c r="F77" s="823"/>
      <c r="G77" s="823"/>
      <c r="H77" s="823"/>
      <c r="I77" s="823"/>
      <c r="J77" s="823"/>
      <c r="K77" s="823"/>
      <c r="L77" s="873"/>
      <c r="N77" s="827"/>
    </row>
    <row r="78" spans="1:14" s="826" customFormat="1" ht="25.5">
      <c r="A78" s="896">
        <v>5</v>
      </c>
      <c r="B78" s="897"/>
      <c r="C78" s="901" t="s">
        <v>979</v>
      </c>
      <c r="D78" s="902"/>
      <c r="E78" s="898"/>
      <c r="F78" s="898"/>
      <c r="G78" s="898"/>
      <c r="H78" s="898"/>
      <c r="I78" s="898"/>
      <c r="J78" s="898"/>
      <c r="K78" s="899"/>
      <c r="L78" s="903"/>
      <c r="N78" s="827"/>
    </row>
    <row r="79" spans="1:14" s="826" customFormat="1" ht="21.75">
      <c r="A79" s="870">
        <v>5.01</v>
      </c>
      <c r="B79" s="871" t="s">
        <v>282</v>
      </c>
      <c r="C79" s="872" t="s">
        <v>967</v>
      </c>
      <c r="D79" s="823"/>
      <c r="E79" s="868" t="s">
        <v>936</v>
      </c>
      <c r="F79" s="823"/>
      <c r="G79" s="823"/>
      <c r="H79" s="823"/>
      <c r="I79" s="823"/>
      <c r="J79" s="823"/>
      <c r="K79" s="823"/>
      <c r="L79" s="873"/>
      <c r="N79" s="827"/>
    </row>
    <row r="80" spans="1:14" s="826" customFormat="1" ht="21.75">
      <c r="A80" s="870">
        <v>5.0199999999999996</v>
      </c>
      <c r="B80" s="871" t="s">
        <v>282</v>
      </c>
      <c r="C80" s="872" t="s">
        <v>965</v>
      </c>
      <c r="D80" s="823"/>
      <c r="E80" s="868" t="s">
        <v>936</v>
      </c>
      <c r="F80" s="823"/>
      <c r="G80" s="823"/>
      <c r="H80" s="823"/>
      <c r="I80" s="823"/>
      <c r="J80" s="823"/>
      <c r="K80" s="823"/>
      <c r="L80" s="873"/>
      <c r="N80" s="827"/>
    </row>
    <row r="81" spans="1:14" s="826" customFormat="1" ht="21.75">
      <c r="A81" s="870">
        <v>5.03</v>
      </c>
      <c r="B81" s="871" t="s">
        <v>282</v>
      </c>
      <c r="C81" s="872" t="s">
        <v>968</v>
      </c>
      <c r="D81" s="823"/>
      <c r="E81" s="868" t="s">
        <v>104</v>
      </c>
      <c r="F81" s="823"/>
      <c r="G81" s="823"/>
      <c r="H81" s="823"/>
      <c r="I81" s="823"/>
      <c r="J81" s="823"/>
      <c r="K81" s="823"/>
      <c r="L81" s="873"/>
      <c r="N81" s="827"/>
    </row>
    <row r="82" spans="1:14" s="826" customFormat="1" ht="21.75">
      <c r="A82" s="870">
        <v>5.04</v>
      </c>
      <c r="B82" s="871" t="s">
        <v>282</v>
      </c>
      <c r="C82" s="872" t="s">
        <v>957</v>
      </c>
      <c r="D82" s="823"/>
      <c r="E82" s="868" t="s">
        <v>564</v>
      </c>
      <c r="F82" s="823"/>
      <c r="G82" s="823"/>
      <c r="H82" s="823"/>
      <c r="I82" s="823"/>
      <c r="J82" s="823"/>
      <c r="K82" s="823"/>
      <c r="L82" s="873"/>
      <c r="N82" s="827"/>
    </row>
    <row r="83" spans="1:14" s="826" customFormat="1" ht="21.75">
      <c r="A83" s="870"/>
      <c r="B83" s="871"/>
      <c r="C83" s="872"/>
      <c r="D83" s="823"/>
      <c r="E83" s="868"/>
      <c r="F83" s="823"/>
      <c r="G83" s="823"/>
      <c r="H83" s="823"/>
      <c r="I83" s="823"/>
      <c r="J83" s="823"/>
      <c r="K83" s="823"/>
      <c r="L83" s="873"/>
      <c r="N83" s="827"/>
    </row>
    <row r="84" spans="1:14" s="826" customFormat="1" ht="25.5">
      <c r="A84" s="896">
        <v>6</v>
      </c>
      <c r="B84" s="897"/>
      <c r="C84" s="901" t="s">
        <v>980</v>
      </c>
      <c r="D84" s="902"/>
      <c r="E84" s="898"/>
      <c r="F84" s="898"/>
      <c r="G84" s="898"/>
      <c r="H84" s="898"/>
      <c r="I84" s="898"/>
      <c r="J84" s="898"/>
      <c r="K84" s="899"/>
      <c r="L84" s="904"/>
      <c r="N84" s="827"/>
    </row>
    <row r="85" spans="1:14" s="826" customFormat="1" ht="21.75">
      <c r="A85" s="870">
        <v>6.01</v>
      </c>
      <c r="B85" s="871" t="s">
        <v>282</v>
      </c>
      <c r="C85" s="872" t="s">
        <v>981</v>
      </c>
      <c r="D85" s="823"/>
      <c r="E85" s="868" t="s">
        <v>240</v>
      </c>
      <c r="F85" s="823"/>
      <c r="G85" s="823"/>
      <c r="H85" s="823"/>
      <c r="I85" s="823"/>
      <c r="J85" s="823"/>
      <c r="K85" s="823"/>
      <c r="L85" s="873"/>
      <c r="N85" s="827"/>
    </row>
    <row r="86" spans="1:14" s="826" customFormat="1" ht="21.75">
      <c r="A86" s="870">
        <v>6.02</v>
      </c>
      <c r="B86" s="871" t="s">
        <v>282</v>
      </c>
      <c r="C86" s="872" t="s">
        <v>982</v>
      </c>
      <c r="D86" s="823"/>
      <c r="E86" s="868" t="s">
        <v>240</v>
      </c>
      <c r="F86" s="823"/>
      <c r="G86" s="823"/>
      <c r="H86" s="823"/>
      <c r="I86" s="823"/>
      <c r="J86" s="823"/>
      <c r="K86" s="823"/>
      <c r="L86" s="873"/>
      <c r="N86" s="827"/>
    </row>
    <row r="87" spans="1:14" s="826" customFormat="1" ht="21.75">
      <c r="A87" s="870"/>
      <c r="B87" s="871"/>
      <c r="C87" s="872"/>
      <c r="D87" s="823"/>
      <c r="E87" s="868"/>
      <c r="F87" s="823"/>
      <c r="G87" s="823"/>
      <c r="H87" s="823"/>
      <c r="I87" s="823"/>
      <c r="J87" s="823"/>
      <c r="K87" s="823"/>
      <c r="L87" s="873"/>
      <c r="N87" s="827"/>
    </row>
    <row r="88" spans="1:14" s="826" customFormat="1" ht="25.5">
      <c r="A88" s="896">
        <v>7</v>
      </c>
      <c r="B88" s="897"/>
      <c r="C88" s="901" t="s">
        <v>983</v>
      </c>
      <c r="D88" s="905"/>
      <c r="E88" s="906"/>
      <c r="F88" s="905"/>
      <c r="G88" s="907"/>
      <c r="H88" s="906"/>
      <c r="I88" s="906"/>
      <c r="J88" s="906"/>
      <c r="K88" s="908"/>
      <c r="L88" s="903"/>
      <c r="N88" s="827"/>
    </row>
    <row r="89" spans="1:14" s="826" customFormat="1" ht="21.75">
      <c r="A89" s="1434">
        <v>7.1</v>
      </c>
      <c r="B89" s="1435" t="s">
        <v>984</v>
      </c>
      <c r="C89" s="1433"/>
      <c r="D89" s="823"/>
      <c r="E89" s="868"/>
      <c r="F89" s="823"/>
      <c r="G89" s="823"/>
      <c r="H89" s="823"/>
      <c r="I89" s="823"/>
      <c r="J89" s="823"/>
      <c r="K89" s="823"/>
      <c r="L89" s="873"/>
      <c r="N89" s="827"/>
    </row>
    <row r="90" spans="1:14" s="826" customFormat="1" ht="21.75">
      <c r="A90" s="1434"/>
      <c r="B90" s="871"/>
      <c r="C90" s="1432" t="s">
        <v>985</v>
      </c>
      <c r="D90" s="823"/>
      <c r="E90" s="868" t="s">
        <v>121</v>
      </c>
      <c r="F90" s="823"/>
      <c r="G90" s="823"/>
      <c r="H90" s="823"/>
      <c r="I90" s="823"/>
      <c r="J90" s="823"/>
      <c r="K90" s="823"/>
      <c r="L90" s="873"/>
      <c r="N90" s="827"/>
    </row>
    <row r="91" spans="1:14" s="826" customFormat="1" ht="21.75">
      <c r="A91" s="1434"/>
      <c r="B91" s="871"/>
      <c r="C91" s="1432" t="s">
        <v>986</v>
      </c>
      <c r="D91" s="823"/>
      <c r="E91" s="868" t="s">
        <v>667</v>
      </c>
      <c r="F91" s="823"/>
      <c r="G91" s="823"/>
      <c r="H91" s="823"/>
      <c r="I91" s="823"/>
      <c r="J91" s="823"/>
      <c r="K91" s="823"/>
      <c r="L91" s="873"/>
      <c r="N91" s="827"/>
    </row>
    <row r="92" spans="1:14" s="826" customFormat="1" ht="21.75">
      <c r="A92" s="1434">
        <v>7.2</v>
      </c>
      <c r="B92" s="1435" t="s">
        <v>118</v>
      </c>
      <c r="C92" s="1432"/>
      <c r="D92" s="823"/>
      <c r="E92" s="868"/>
      <c r="F92" s="823"/>
      <c r="G92" s="823"/>
      <c r="H92" s="823"/>
      <c r="I92" s="823"/>
      <c r="J92" s="823"/>
      <c r="K92" s="823"/>
      <c r="L92" s="873"/>
      <c r="N92" s="827"/>
    </row>
    <row r="93" spans="1:14" s="826" customFormat="1" ht="21.75">
      <c r="A93" s="1434"/>
      <c r="B93" s="871"/>
      <c r="C93" s="1432" t="s">
        <v>120</v>
      </c>
      <c r="D93" s="823"/>
      <c r="E93" s="868" t="s">
        <v>121</v>
      </c>
      <c r="F93" s="823"/>
      <c r="G93" s="823"/>
      <c r="H93" s="823"/>
      <c r="I93" s="823"/>
      <c r="J93" s="823"/>
      <c r="K93" s="823"/>
      <c r="L93" s="873"/>
      <c r="N93" s="827"/>
    </row>
    <row r="94" spans="1:14" s="826" customFormat="1" ht="21.75">
      <c r="A94" s="1434"/>
      <c r="B94" s="871"/>
      <c r="C94" s="1432" t="s">
        <v>123</v>
      </c>
      <c r="D94" s="823"/>
      <c r="E94" s="868" t="s">
        <v>124</v>
      </c>
      <c r="F94" s="823"/>
      <c r="G94" s="823"/>
      <c r="H94" s="823"/>
      <c r="I94" s="823"/>
      <c r="J94" s="823"/>
      <c r="K94" s="823"/>
      <c r="L94" s="873"/>
      <c r="N94" s="827"/>
    </row>
    <row r="95" spans="1:14" s="826" customFormat="1" ht="21.75">
      <c r="A95" s="1434"/>
      <c r="B95" s="871"/>
      <c r="C95" s="1432" t="s">
        <v>126</v>
      </c>
      <c r="D95" s="823"/>
      <c r="E95" s="868" t="s">
        <v>124</v>
      </c>
      <c r="F95" s="823"/>
      <c r="G95" s="823"/>
      <c r="H95" s="823"/>
      <c r="I95" s="823"/>
      <c r="J95" s="823"/>
      <c r="K95" s="823"/>
      <c r="L95" s="873"/>
      <c r="N95" s="827"/>
    </row>
    <row r="96" spans="1:14" s="826" customFormat="1" ht="21.75">
      <c r="A96" s="1434"/>
      <c r="B96" s="871"/>
      <c r="C96" s="1432" t="s">
        <v>128</v>
      </c>
      <c r="D96" s="823"/>
      <c r="E96" s="868" t="s">
        <v>124</v>
      </c>
      <c r="F96" s="823"/>
      <c r="G96" s="823"/>
      <c r="H96" s="823"/>
      <c r="I96" s="823"/>
      <c r="J96" s="823"/>
      <c r="K96" s="823"/>
      <c r="L96" s="873"/>
      <c r="N96" s="827"/>
    </row>
    <row r="97" spans="1:14" s="826" customFormat="1" ht="21.75">
      <c r="A97" s="1434"/>
      <c r="B97" s="871"/>
      <c r="C97" s="1432" t="s">
        <v>987</v>
      </c>
      <c r="D97" s="823"/>
      <c r="E97" s="868" t="s">
        <v>124</v>
      </c>
      <c r="F97" s="823"/>
      <c r="G97" s="823"/>
      <c r="H97" s="823"/>
      <c r="I97" s="823"/>
      <c r="J97" s="823"/>
      <c r="K97" s="823"/>
      <c r="L97" s="873"/>
      <c r="N97" s="827"/>
    </row>
    <row r="98" spans="1:14" s="826" customFormat="1" ht="21.75">
      <c r="A98" s="1434"/>
      <c r="B98" s="871"/>
      <c r="C98" s="1432" t="s">
        <v>132</v>
      </c>
      <c r="D98" s="823"/>
      <c r="E98" s="868" t="s">
        <v>124</v>
      </c>
      <c r="F98" s="823"/>
      <c r="G98" s="823"/>
      <c r="H98" s="823"/>
      <c r="I98" s="823"/>
      <c r="J98" s="823"/>
      <c r="K98" s="823"/>
      <c r="L98" s="873"/>
      <c r="N98" s="827"/>
    </row>
    <row r="99" spans="1:14" s="826" customFormat="1" ht="21.75">
      <c r="A99" s="1434"/>
      <c r="B99" s="871"/>
      <c r="C99" s="1432" t="s">
        <v>134</v>
      </c>
      <c r="D99" s="823"/>
      <c r="E99" s="868" t="s">
        <v>121</v>
      </c>
      <c r="F99" s="823"/>
      <c r="G99" s="823"/>
      <c r="H99" s="823"/>
      <c r="I99" s="823"/>
      <c r="J99" s="823"/>
      <c r="K99" s="823"/>
      <c r="L99" s="873"/>
      <c r="N99" s="827"/>
    </row>
    <row r="100" spans="1:14" s="826" customFormat="1" ht="21.75">
      <c r="A100" s="1434"/>
      <c r="B100" s="871"/>
      <c r="C100" s="1432" t="s">
        <v>136</v>
      </c>
      <c r="D100" s="823"/>
      <c r="E100" s="868"/>
      <c r="F100" s="823"/>
      <c r="G100" s="823"/>
      <c r="H100" s="823"/>
      <c r="I100" s="823"/>
      <c r="J100" s="823"/>
      <c r="K100" s="823"/>
      <c r="L100" s="873"/>
      <c r="N100" s="827"/>
    </row>
    <row r="101" spans="1:14" s="826" customFormat="1" ht="21.75">
      <c r="A101" s="1434"/>
      <c r="B101" s="871"/>
      <c r="C101" s="1432" t="s">
        <v>988</v>
      </c>
      <c r="D101" s="823"/>
      <c r="E101" s="868" t="s">
        <v>138</v>
      </c>
      <c r="F101" s="823"/>
      <c r="G101" s="823"/>
      <c r="H101" s="823"/>
      <c r="I101" s="823"/>
      <c r="J101" s="823"/>
      <c r="K101" s="823"/>
      <c r="L101" s="873"/>
      <c r="N101" s="827"/>
    </row>
    <row r="102" spans="1:14" s="826" customFormat="1" ht="21.75">
      <c r="A102" s="1434"/>
      <c r="B102" s="871"/>
      <c r="C102" s="1432" t="s">
        <v>139</v>
      </c>
      <c r="D102" s="823"/>
      <c r="E102" s="868" t="s">
        <v>138</v>
      </c>
      <c r="F102" s="823"/>
      <c r="G102" s="823"/>
      <c r="H102" s="823"/>
      <c r="I102" s="823"/>
      <c r="J102" s="823"/>
      <c r="K102" s="823"/>
      <c r="L102" s="873"/>
      <c r="N102" s="827"/>
    </row>
    <row r="103" spans="1:14" s="826" customFormat="1" ht="21.75">
      <c r="A103" s="1434"/>
      <c r="B103" s="871"/>
      <c r="C103" s="1432" t="s">
        <v>145</v>
      </c>
      <c r="D103" s="823"/>
      <c r="E103" s="868" t="s">
        <v>138</v>
      </c>
      <c r="F103" s="823"/>
      <c r="G103" s="823"/>
      <c r="H103" s="823"/>
      <c r="I103" s="823"/>
      <c r="J103" s="823"/>
      <c r="K103" s="823"/>
      <c r="L103" s="873"/>
      <c r="N103" s="827"/>
    </row>
    <row r="104" spans="1:14" s="826" customFormat="1" ht="21.75">
      <c r="A104" s="1434">
        <v>7.3</v>
      </c>
      <c r="B104" s="1436" t="s">
        <v>151</v>
      </c>
      <c r="D104" s="823"/>
      <c r="E104" s="868"/>
      <c r="F104" s="823"/>
      <c r="G104" s="823"/>
      <c r="H104" s="823"/>
      <c r="I104" s="823"/>
      <c r="J104" s="823"/>
      <c r="K104" s="823"/>
      <c r="L104" s="873"/>
      <c r="N104" s="827"/>
    </row>
    <row r="105" spans="1:14" s="826" customFormat="1" ht="21.75">
      <c r="A105" s="1434"/>
      <c r="B105" s="871"/>
      <c r="C105" s="1432" t="s">
        <v>762</v>
      </c>
      <c r="D105" s="823"/>
      <c r="E105" s="868" t="s">
        <v>138</v>
      </c>
      <c r="F105" s="823"/>
      <c r="G105" s="823"/>
      <c r="H105" s="823"/>
      <c r="I105" s="823"/>
      <c r="J105" s="823"/>
      <c r="K105" s="823"/>
      <c r="L105" s="873"/>
      <c r="N105" s="827"/>
    </row>
    <row r="106" spans="1:14" s="826" customFormat="1" ht="21.75">
      <c r="A106" s="1434"/>
      <c r="B106" s="871"/>
      <c r="C106" s="1432" t="s">
        <v>989</v>
      </c>
      <c r="D106" s="823"/>
      <c r="E106" s="868" t="s">
        <v>138</v>
      </c>
      <c r="F106" s="823"/>
      <c r="G106" s="823"/>
      <c r="H106" s="823"/>
      <c r="I106" s="823"/>
      <c r="J106" s="823"/>
      <c r="K106" s="823"/>
      <c r="L106" s="873"/>
      <c r="N106" s="827"/>
    </row>
    <row r="107" spans="1:14" s="826" customFormat="1" ht="21.75">
      <c r="A107" s="1434"/>
      <c r="B107" s="871"/>
      <c r="C107" s="1432" t="s">
        <v>990</v>
      </c>
      <c r="D107" s="823"/>
      <c r="E107" s="868" t="s">
        <v>138</v>
      </c>
      <c r="F107" s="823"/>
      <c r="G107" s="823"/>
      <c r="H107" s="823"/>
      <c r="I107" s="823"/>
      <c r="J107" s="823"/>
      <c r="K107" s="823"/>
      <c r="L107" s="873"/>
      <c r="N107" s="827"/>
    </row>
    <row r="108" spans="1:14" s="826" customFormat="1" ht="21.75">
      <c r="A108" s="1434"/>
      <c r="B108" s="871"/>
      <c r="C108" s="1432" t="s">
        <v>991</v>
      </c>
      <c r="D108" s="823"/>
      <c r="E108" s="868" t="s">
        <v>138</v>
      </c>
      <c r="F108" s="823"/>
      <c r="G108" s="823"/>
      <c r="H108" s="823"/>
      <c r="I108" s="823"/>
      <c r="J108" s="823"/>
      <c r="K108" s="823"/>
      <c r="L108" s="873"/>
      <c r="N108" s="827"/>
    </row>
    <row r="109" spans="1:14" s="826" customFormat="1" ht="21.75">
      <c r="A109" s="1434"/>
      <c r="B109" s="871"/>
      <c r="C109" s="1432" t="s">
        <v>992</v>
      </c>
      <c r="D109" s="823"/>
      <c r="E109" s="868" t="s">
        <v>138</v>
      </c>
      <c r="F109" s="823"/>
      <c r="G109" s="823"/>
      <c r="H109" s="823"/>
      <c r="I109" s="823"/>
      <c r="J109" s="823"/>
      <c r="K109" s="823"/>
      <c r="L109" s="873"/>
      <c r="N109" s="827"/>
    </row>
    <row r="110" spans="1:14" s="826" customFormat="1" ht="21.75">
      <c r="A110" s="1434"/>
      <c r="B110" s="871"/>
      <c r="C110" s="1432" t="s">
        <v>993</v>
      </c>
      <c r="D110" s="823"/>
      <c r="E110" s="868" t="s">
        <v>667</v>
      </c>
      <c r="F110" s="823"/>
      <c r="G110" s="823"/>
      <c r="H110" s="823"/>
      <c r="I110" s="823"/>
      <c r="J110" s="823"/>
      <c r="K110" s="823"/>
      <c r="L110" s="873"/>
      <c r="N110" s="827"/>
    </row>
    <row r="111" spans="1:14" s="826" customFormat="1" ht="21.75">
      <c r="A111" s="1434"/>
      <c r="B111" s="871"/>
      <c r="C111" s="1432" t="s">
        <v>767</v>
      </c>
      <c r="D111" s="823"/>
      <c r="E111" s="868" t="s">
        <v>121</v>
      </c>
      <c r="F111" s="823"/>
      <c r="G111" s="823"/>
      <c r="H111" s="823"/>
      <c r="I111" s="823"/>
      <c r="J111" s="823"/>
      <c r="K111" s="823"/>
      <c r="L111" s="873"/>
      <c r="N111" s="827"/>
    </row>
    <row r="112" spans="1:14" s="826" customFormat="1" ht="21.75">
      <c r="A112" s="1434"/>
      <c r="B112" s="871"/>
      <c r="C112" s="1432" t="s">
        <v>172</v>
      </c>
      <c r="D112" s="823"/>
      <c r="E112" s="868" t="s">
        <v>171</v>
      </c>
      <c r="F112" s="823"/>
      <c r="G112" s="823"/>
      <c r="H112" s="823"/>
      <c r="I112" s="823"/>
      <c r="J112" s="823"/>
      <c r="K112" s="823"/>
      <c r="L112" s="873"/>
      <c r="N112" s="827"/>
    </row>
    <row r="113" spans="1:14" s="826" customFormat="1" ht="21.75">
      <c r="A113" s="1434"/>
      <c r="B113" s="1435" t="s">
        <v>994</v>
      </c>
      <c r="D113" s="823"/>
      <c r="E113" s="868"/>
      <c r="F113" s="823"/>
      <c r="G113" s="823"/>
      <c r="H113" s="823"/>
      <c r="I113" s="823"/>
      <c r="J113" s="823"/>
      <c r="K113" s="823"/>
      <c r="L113" s="873"/>
      <c r="N113" s="827"/>
    </row>
    <row r="114" spans="1:14" s="826" customFormat="1" ht="21.75">
      <c r="A114" s="1434">
        <v>7.4</v>
      </c>
      <c r="B114" s="1438" t="s">
        <v>995</v>
      </c>
      <c r="C114" s="1437"/>
      <c r="D114" s="823"/>
      <c r="E114" s="868"/>
      <c r="F114" s="823"/>
      <c r="G114" s="823"/>
      <c r="H114" s="823"/>
      <c r="I114" s="823"/>
      <c r="J114" s="823"/>
      <c r="K114" s="823"/>
      <c r="L114" s="873"/>
      <c r="N114" s="827"/>
    </row>
    <row r="115" spans="1:14" s="826" customFormat="1" ht="21.75">
      <c r="A115" s="1434"/>
      <c r="B115" s="871"/>
      <c r="C115" s="1432" t="s">
        <v>176</v>
      </c>
      <c r="D115" s="823"/>
      <c r="E115" s="868" t="s">
        <v>121</v>
      </c>
      <c r="F115" s="823"/>
      <c r="G115" s="823"/>
      <c r="H115" s="823"/>
      <c r="I115" s="823"/>
      <c r="J115" s="823"/>
      <c r="K115" s="823"/>
      <c r="L115" s="873"/>
      <c r="N115" s="827"/>
    </row>
    <row r="116" spans="1:14" s="826" customFormat="1" ht="21.75">
      <c r="A116" s="1434"/>
      <c r="B116" s="1439"/>
      <c r="C116" s="1432" t="s">
        <v>996</v>
      </c>
      <c r="D116" s="823"/>
      <c r="E116" s="868" t="s">
        <v>121</v>
      </c>
      <c r="F116" s="823"/>
      <c r="G116" s="823"/>
      <c r="H116" s="823"/>
      <c r="I116" s="823"/>
      <c r="J116" s="823"/>
      <c r="K116" s="823"/>
      <c r="L116" s="873"/>
      <c r="N116" s="827"/>
    </row>
    <row r="117" spans="1:14" s="826" customFormat="1" ht="21.75">
      <c r="A117" s="1434"/>
      <c r="B117" s="1439"/>
      <c r="C117" s="1432" t="s">
        <v>997</v>
      </c>
      <c r="D117" s="823"/>
      <c r="E117" s="868" t="s">
        <v>667</v>
      </c>
      <c r="F117" s="823"/>
      <c r="G117" s="823"/>
      <c r="H117" s="823"/>
      <c r="I117" s="823"/>
      <c r="J117" s="823"/>
      <c r="K117" s="823"/>
      <c r="L117" s="873"/>
      <c r="N117" s="827"/>
    </row>
    <row r="118" spans="1:14" s="826" customFormat="1" ht="21.75">
      <c r="A118" s="1434"/>
      <c r="B118" s="1439"/>
      <c r="C118" s="1432" t="s">
        <v>600</v>
      </c>
      <c r="D118" s="823"/>
      <c r="E118" s="868" t="s">
        <v>104</v>
      </c>
      <c r="F118" s="823"/>
      <c r="G118" s="823"/>
      <c r="H118" s="823"/>
      <c r="I118" s="823"/>
      <c r="J118" s="823"/>
      <c r="K118" s="823"/>
      <c r="L118" s="873"/>
      <c r="N118" s="827"/>
    </row>
    <row r="119" spans="1:14" s="826" customFormat="1" ht="21.75">
      <c r="A119" s="1434">
        <v>7.5</v>
      </c>
      <c r="B119" s="1436" t="s">
        <v>186</v>
      </c>
      <c r="D119" s="823"/>
      <c r="E119" s="868"/>
      <c r="F119" s="823"/>
      <c r="G119" s="823"/>
      <c r="H119" s="823"/>
      <c r="I119" s="823"/>
      <c r="J119" s="823"/>
      <c r="K119" s="823"/>
      <c r="L119" s="873"/>
      <c r="N119" s="827"/>
    </row>
    <row r="120" spans="1:14" s="826" customFormat="1" ht="21.75">
      <c r="A120" s="1434"/>
      <c r="B120" s="1439"/>
      <c r="C120" s="1432" t="s">
        <v>998</v>
      </c>
      <c r="D120" s="823"/>
      <c r="E120" s="868" t="s">
        <v>121</v>
      </c>
      <c r="F120" s="823"/>
      <c r="G120" s="823"/>
      <c r="H120" s="823"/>
      <c r="I120" s="823"/>
      <c r="J120" s="823"/>
      <c r="K120" s="823"/>
      <c r="L120" s="873"/>
      <c r="N120" s="827"/>
    </row>
    <row r="121" spans="1:14" s="826" customFormat="1" ht="21.75">
      <c r="A121" s="1434">
        <v>7.6</v>
      </c>
      <c r="B121" s="1436" t="s">
        <v>206</v>
      </c>
      <c r="D121" s="823"/>
      <c r="E121" s="868"/>
      <c r="F121" s="823"/>
      <c r="G121" s="823"/>
      <c r="H121" s="823"/>
      <c r="I121" s="823"/>
      <c r="J121" s="823"/>
      <c r="K121" s="823"/>
      <c r="L121" s="873"/>
      <c r="N121" s="827"/>
    </row>
    <row r="122" spans="1:14" s="826" customFormat="1" ht="21.75">
      <c r="A122" s="1434"/>
      <c r="B122" s="1439"/>
      <c r="C122" s="1432" t="s">
        <v>607</v>
      </c>
      <c r="D122" s="823"/>
      <c r="E122" s="868" t="s">
        <v>121</v>
      </c>
      <c r="F122" s="823"/>
      <c r="G122" s="823"/>
      <c r="H122" s="823"/>
      <c r="I122" s="823"/>
      <c r="J122" s="823"/>
      <c r="K122" s="823"/>
      <c r="L122" s="873"/>
      <c r="N122" s="827"/>
    </row>
    <row r="123" spans="1:14" s="826" customFormat="1" ht="43.5">
      <c r="A123" s="1434"/>
      <c r="B123" s="1439"/>
      <c r="C123" s="1432" t="s">
        <v>999</v>
      </c>
      <c r="D123" s="823"/>
      <c r="E123" s="868" t="s">
        <v>121</v>
      </c>
      <c r="F123" s="823"/>
      <c r="G123" s="823"/>
      <c r="H123" s="823"/>
      <c r="I123" s="823"/>
      <c r="J123" s="823"/>
      <c r="K123" s="823"/>
      <c r="L123" s="873"/>
      <c r="N123" s="827"/>
    </row>
    <row r="124" spans="1:14" s="826" customFormat="1" ht="21.75">
      <c r="A124" s="1434"/>
      <c r="B124" s="1439"/>
      <c r="C124" s="1432" t="s">
        <v>1000</v>
      </c>
      <c r="D124" s="823"/>
      <c r="E124" s="868" t="s">
        <v>211</v>
      </c>
      <c r="F124" s="823"/>
      <c r="G124" s="823"/>
      <c r="H124" s="823"/>
      <c r="I124" s="823"/>
      <c r="J124" s="823"/>
      <c r="K124" s="823"/>
      <c r="L124" s="873"/>
      <c r="N124" s="827"/>
    </row>
    <row r="125" spans="1:14" s="826" customFormat="1" ht="21.75">
      <c r="A125" s="1434"/>
      <c r="B125" s="1439"/>
      <c r="C125" s="1432" t="s">
        <v>1001</v>
      </c>
      <c r="D125" s="823"/>
      <c r="E125" s="868" t="s">
        <v>211</v>
      </c>
      <c r="F125" s="823"/>
      <c r="G125" s="823"/>
      <c r="H125" s="823"/>
      <c r="I125" s="823"/>
      <c r="J125" s="823"/>
      <c r="K125" s="823"/>
      <c r="L125" s="873"/>
      <c r="N125" s="827"/>
    </row>
    <row r="126" spans="1:14" s="826" customFormat="1" ht="21.75">
      <c r="A126" s="1434"/>
      <c r="B126" s="1439"/>
      <c r="C126" s="1432" t="s">
        <v>225</v>
      </c>
      <c r="D126" s="823"/>
      <c r="E126" s="868" t="s">
        <v>667</v>
      </c>
      <c r="F126" s="823"/>
      <c r="G126" s="823"/>
      <c r="H126" s="823"/>
      <c r="I126" s="823"/>
      <c r="J126" s="823"/>
      <c r="K126" s="823"/>
      <c r="L126" s="873"/>
      <c r="N126" s="827"/>
    </row>
    <row r="127" spans="1:14" s="826" customFormat="1" ht="21.75">
      <c r="A127" s="1434"/>
      <c r="B127" s="1439"/>
      <c r="C127" s="1432" t="s">
        <v>1002</v>
      </c>
      <c r="D127" s="823"/>
      <c r="E127" s="868"/>
      <c r="F127" s="823"/>
      <c r="G127" s="823"/>
      <c r="H127" s="823"/>
      <c r="I127" s="823"/>
      <c r="J127" s="823"/>
      <c r="K127" s="823"/>
      <c r="L127" s="873"/>
      <c r="N127" s="827"/>
    </row>
    <row r="128" spans="1:14" s="826" customFormat="1" ht="21.75">
      <c r="A128" s="1434"/>
      <c r="B128" s="1439"/>
      <c r="C128" s="1432" t="s">
        <v>1003</v>
      </c>
      <c r="D128" s="823"/>
      <c r="E128" s="868" t="s">
        <v>104</v>
      </c>
      <c r="F128" s="823"/>
      <c r="G128" s="823"/>
      <c r="H128" s="823"/>
      <c r="I128" s="823"/>
      <c r="J128" s="823"/>
      <c r="K128" s="823"/>
      <c r="L128" s="873"/>
      <c r="N128" s="827"/>
    </row>
    <row r="129" spans="1:14" s="826" customFormat="1" ht="21.75">
      <c r="A129" s="1434"/>
      <c r="B129" s="1439"/>
      <c r="C129" s="1432" t="s">
        <v>1004</v>
      </c>
      <c r="D129" s="823"/>
      <c r="E129" s="868" t="s">
        <v>104</v>
      </c>
      <c r="F129" s="823"/>
      <c r="G129" s="823"/>
      <c r="H129" s="823"/>
      <c r="I129" s="823"/>
      <c r="J129" s="823"/>
      <c r="K129" s="823"/>
      <c r="L129" s="873"/>
      <c r="N129" s="827"/>
    </row>
    <row r="130" spans="1:14" s="826" customFormat="1" ht="21.75">
      <c r="A130" s="1434">
        <v>7.7</v>
      </c>
      <c r="B130" s="1436" t="s">
        <v>1005</v>
      </c>
      <c r="D130" s="823"/>
      <c r="E130" s="868"/>
      <c r="F130" s="823"/>
      <c r="G130" s="823"/>
      <c r="H130" s="823"/>
      <c r="I130" s="823"/>
      <c r="J130" s="823"/>
      <c r="K130" s="823"/>
      <c r="L130" s="873"/>
      <c r="N130" s="827"/>
    </row>
    <row r="131" spans="1:14" s="826" customFormat="1" ht="43.5">
      <c r="A131" s="1434"/>
      <c r="B131" s="1439"/>
      <c r="C131" s="1432" t="s">
        <v>622</v>
      </c>
      <c r="D131" s="823"/>
      <c r="E131" s="868" t="s">
        <v>240</v>
      </c>
      <c r="F131" s="823"/>
      <c r="G131" s="823"/>
      <c r="H131" s="823"/>
      <c r="I131" s="823"/>
      <c r="J131" s="823"/>
      <c r="K131" s="823"/>
      <c r="L131" s="873"/>
      <c r="N131" s="827"/>
    </row>
    <row r="132" spans="1:14" s="826" customFormat="1" ht="21.75">
      <c r="A132" s="1434">
        <v>7.8</v>
      </c>
      <c r="B132" s="1436" t="s">
        <v>261</v>
      </c>
      <c r="D132" s="823"/>
      <c r="E132" s="868"/>
      <c r="F132" s="823"/>
      <c r="G132" s="823"/>
      <c r="H132" s="823"/>
      <c r="I132" s="823"/>
      <c r="J132" s="823"/>
      <c r="K132" s="823"/>
      <c r="L132" s="873"/>
      <c r="N132" s="827"/>
    </row>
    <row r="133" spans="1:14" s="826" customFormat="1" ht="21.75">
      <c r="A133" s="1434"/>
      <c r="B133" s="1439"/>
      <c r="C133" s="1432" t="s">
        <v>1006</v>
      </c>
      <c r="D133" s="823"/>
      <c r="E133" s="868" t="s">
        <v>121</v>
      </c>
      <c r="F133" s="823"/>
      <c r="G133" s="823"/>
      <c r="H133" s="823"/>
      <c r="I133" s="823"/>
      <c r="J133" s="823"/>
      <c r="K133" s="823"/>
      <c r="L133" s="873"/>
      <c r="N133" s="827"/>
    </row>
    <row r="134" spans="1:14" s="826" customFormat="1" ht="21.75">
      <c r="A134" s="1434"/>
      <c r="B134" s="1439"/>
      <c r="C134" s="1432" t="s">
        <v>265</v>
      </c>
      <c r="D134" s="823"/>
      <c r="E134" s="868" t="s">
        <v>121</v>
      </c>
      <c r="F134" s="823"/>
      <c r="G134" s="823"/>
      <c r="H134" s="823"/>
      <c r="I134" s="823"/>
      <c r="J134" s="823"/>
      <c r="K134" s="823"/>
      <c r="L134" s="873"/>
      <c r="N134" s="827"/>
    </row>
    <row r="135" spans="1:14" s="826" customFormat="1" ht="21.75">
      <c r="A135" s="1434">
        <v>7.9</v>
      </c>
      <c r="B135" s="1436" t="s">
        <v>1007</v>
      </c>
      <c r="D135" s="823"/>
      <c r="E135" s="868"/>
      <c r="F135" s="823"/>
      <c r="G135" s="823"/>
      <c r="H135" s="823"/>
      <c r="I135" s="823"/>
      <c r="J135" s="823"/>
      <c r="K135" s="823"/>
      <c r="L135" s="873"/>
      <c r="N135" s="827"/>
    </row>
    <row r="136" spans="1:14" s="826" customFormat="1" ht="21.75">
      <c r="A136" s="870"/>
      <c r="B136" s="1439"/>
      <c r="C136" s="1432" t="s">
        <v>1008</v>
      </c>
      <c r="D136" s="823"/>
      <c r="E136" s="868" t="s">
        <v>104</v>
      </c>
      <c r="F136" s="823"/>
      <c r="G136" s="823"/>
      <c r="H136" s="823"/>
      <c r="I136" s="823"/>
      <c r="J136" s="823"/>
      <c r="K136" s="823"/>
      <c r="L136" s="873"/>
      <c r="N136" s="827"/>
    </row>
    <row r="137" spans="1:14" ht="21.75">
      <c r="A137" s="876"/>
      <c r="B137" s="877"/>
      <c r="C137" s="878"/>
      <c r="D137" s="879"/>
      <c r="E137" s="880"/>
      <c r="F137" s="881"/>
      <c r="G137" s="882"/>
      <c r="H137" s="881"/>
      <c r="I137" s="882"/>
      <c r="J137" s="882"/>
      <c r="K137" s="882"/>
      <c r="L137" s="883"/>
    </row>
    <row r="138" spans="1:14" s="856" customFormat="1" ht="28.5" customHeight="1">
      <c r="A138" s="885"/>
      <c r="B138" s="1758" t="s">
        <v>1009</v>
      </c>
      <c r="C138" s="1758"/>
      <c r="D138" s="1758"/>
      <c r="E138" s="1759"/>
      <c r="F138" s="886"/>
      <c r="G138" s="886">
        <f>SUM(G9:G136)</f>
        <v>0</v>
      </c>
      <c r="H138" s="886"/>
      <c r="I138" s="886">
        <f>SUM(I9:I136)</f>
        <v>0</v>
      </c>
      <c r="J138" s="887"/>
      <c r="K138" s="886">
        <f>SUM(K9:K136)</f>
        <v>0</v>
      </c>
      <c r="L138" s="888"/>
    </row>
    <row r="139" spans="1:14" ht="18" customHeight="1" thickBot="1">
      <c r="A139" s="889"/>
      <c r="B139" s="1752"/>
      <c r="C139" s="1753"/>
      <c r="D139" s="1753"/>
      <c r="E139" s="1754"/>
      <c r="F139" s="890"/>
      <c r="G139" s="891"/>
      <c r="H139" s="890"/>
      <c r="I139" s="892"/>
      <c r="J139" s="891"/>
      <c r="K139" s="893"/>
      <c r="L139" s="894"/>
    </row>
    <row r="142" spans="1:14" ht="18" customHeight="1">
      <c r="K142" s="895"/>
    </row>
  </sheetData>
  <mergeCells count="5">
    <mergeCell ref="B139:E139"/>
    <mergeCell ref="F4:G4"/>
    <mergeCell ref="H4:I4"/>
    <mergeCell ref="B5:C5"/>
    <mergeCell ref="B138:E138"/>
  </mergeCells>
  <printOptions horizontalCentered="1"/>
  <pageMargins left="0.25" right="0.25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thanapat kanchanavilai</dc:creator>
  <cp:keywords/>
  <dc:description/>
  <cp:lastModifiedBy>ผู้ใช้ที่เป็นผู้เยี่ยมชม</cp:lastModifiedBy>
  <cp:revision/>
  <dcterms:created xsi:type="dcterms:W3CDTF">2019-12-06T09:39:12Z</dcterms:created>
  <dcterms:modified xsi:type="dcterms:W3CDTF">2023-08-08T17:51:38Z</dcterms:modified>
  <cp:category/>
  <cp:contentStatus/>
</cp:coreProperties>
</file>